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5" activeTab="0"/>
  </bookViews>
  <sheets>
    <sheet name="Carregador" sheetId="1" r:id="rId1"/>
    <sheet name="Contínuo" sheetId="2" r:id="rId2"/>
    <sheet name="Copeira" sheetId="3" r:id="rId3"/>
    <sheet name="Encarregado Geral" sheetId="4" r:id="rId4"/>
    <sheet name="Garçom" sheetId="5" r:id="rId5"/>
    <sheet name="Lavador de automóvel" sheetId="6" r:id="rId6"/>
    <sheet name="Operador de fotocopiadora" sheetId="7" r:id="rId7"/>
    <sheet name="Recepcionista" sheetId="8" r:id="rId8"/>
    <sheet name="Consolidado" sheetId="9" r:id="rId9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3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3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7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4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3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3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3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sharedStrings.xml><?xml version="1.0" encoding="utf-8"?>
<sst xmlns="http://schemas.openxmlformats.org/spreadsheetml/2006/main" count="536" uniqueCount="117">
  <si>
    <t>ENTRADA DE DADOS</t>
  </si>
  <si>
    <t>REMUNERAÇÃO CONFORME ACORDO COLETIVO DA CATEGORIA – SEAC X SINDISERVIÇOS</t>
  </si>
  <si>
    <t>DATA BASE DA CATEGORIA: 1º de janeiro</t>
  </si>
  <si>
    <r>
      <t xml:space="preserve">Salário de carregador </t>
    </r>
    <r>
      <rPr>
        <b/>
        <sz val="10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</si>
  <si>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</si>
  <si>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</si>
  <si>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 xml:space="preserve">Quantidade de empregados </t>
    </r>
    <r>
      <rPr>
        <b/>
        <sz val="10"/>
        <rFont val="Arial"/>
        <family val="2"/>
      </rPr>
      <t>(3)</t>
    </r>
  </si>
  <si>
    <t>INSUMOS DE MÃO-DE-OBRA</t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</si>
  <si>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</si>
  <si>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 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</si>
  <si>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</si>
  <si>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Valor da assistência odontológica </t>
    </r>
    <r>
      <rPr>
        <b/>
        <sz val="10"/>
        <rFont val="Arial"/>
        <family val="2"/>
      </rPr>
      <t>(7)</t>
    </r>
  </si>
  <si>
    <r>
      <t xml:space="preserve">Valor do auxílio funeral </t>
    </r>
    <r>
      <rPr>
        <b/>
        <sz val="10"/>
        <rFont val="Arial"/>
        <family val="2"/>
      </rPr>
      <t>(8)</t>
    </r>
  </si>
  <si>
    <t>TRIBUTOS</t>
  </si>
  <si>
    <r>
      <t xml:space="preserve">Informar o percentual do ISSQN do município  </t>
    </r>
    <r>
      <rPr>
        <b/>
        <sz val="10"/>
        <rFont val="Arial"/>
        <family val="2"/>
      </rPr>
      <t>(11)</t>
    </r>
  </si>
  <si>
    <t>PLANILHA DE CUSTOS</t>
  </si>
  <si>
    <t>Serviço de Carregador</t>
  </si>
  <si>
    <t>em R$</t>
  </si>
  <si>
    <t>Descrição do Item</t>
  </si>
  <si>
    <t>Custo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</si>
  <si>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</si>
  <si>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</si>
  <si>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</si>
  <si>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</si>
  <si>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r>
      <t xml:space="preserve">Encargos Sociais - 72,11% </t>
    </r>
    <r>
      <rPr>
        <b/>
        <sz val="10"/>
        <rFont val="Arial"/>
        <family val="2"/>
      </rPr>
      <t>(9)</t>
    </r>
  </si>
  <si>
    <t xml:space="preserve">Quantidade de Empregados 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</si>
  <si>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</si>
  <si>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</si>
  <si>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</si>
  <si>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</si>
  <si>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</si>
  <si>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odontológica</t>
  </si>
  <si>
    <t>Valor do auxílio funeral</t>
  </si>
  <si>
    <t>Total dos Insumos de Mão-de-Obra</t>
  </si>
  <si>
    <t>Demais Componentes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</si>
  <si>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incidente sobre o somatório do Montante A e Insumos </t>
    </r>
    <r>
      <rPr>
        <b/>
        <sz val="10"/>
        <rFont val="Arial"/>
        <family val="2"/>
      </rPr>
      <t xml:space="preserve"> (10)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</si>
  <si>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(10)</t>
    </r>
  </si>
  <si>
    <t>Total dos Demais Componentes</t>
  </si>
  <si>
    <t>Tributos (11)</t>
  </si>
  <si>
    <t xml:space="preserve">PIS - 0,65% </t>
  </si>
  <si>
    <t>COFINS - 3%</t>
  </si>
  <si>
    <t xml:space="preserve">ISSQN - </t>
  </si>
  <si>
    <t xml:space="preserve"> %</t>
  </si>
  <si>
    <t>Total dos Tributos (sobre o faturamento)</t>
  </si>
  <si>
    <t>Total do Montante B</t>
  </si>
  <si>
    <t>Faturamento = preço unitário por empregado (montante A + montante B)</t>
  </si>
  <si>
    <r>
      <t xml:space="preserve">Plano de Saúde </t>
    </r>
    <r>
      <rPr>
        <b/>
        <sz val="10"/>
        <rFont val="Arial"/>
        <family val="2"/>
      </rPr>
      <t>(12)</t>
    </r>
  </si>
  <si>
    <t>Preço mensal dos serv. da categoria (Faturamento x qde. Empregados)</t>
  </si>
  <si>
    <t>FATOR K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</si>
  <si>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</si>
  <si>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</si>
  <si>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</si>
  <si>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r>
      <t xml:space="preserve">(3) </t>
    </r>
    <r>
      <rPr>
        <sz val="10"/>
        <rFont val="Arial"/>
        <family val="2"/>
      </rPr>
      <t>Informar o número de empregados da categoria previsto no projeto básico.</t>
    </r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</si>
  <si>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</si>
  <si>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</si>
  <si>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do benefício diário previsto na convenção coletivo da categoria para cada empregado.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</si>
  <si>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</si>
  <si>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Informar o valor previsto na convenção coletiva de trabalho.</t>
    </r>
  </si>
  <si>
    <r>
      <t xml:space="preserve">(9) </t>
    </r>
    <r>
      <rPr>
        <sz val="10"/>
        <rFont val="Arial"/>
        <family val="2"/>
      </rPr>
      <t>Percentual definido em estudo realizado pela SCI/STF e adotado pela AUDIN/MPU.</t>
    </r>
  </si>
  <si>
    <r>
      <t>(10)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</si>
  <si>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(11)</t>
    </r>
    <r>
      <rPr>
        <sz val="10"/>
        <rFont val="Arial"/>
        <family val="2"/>
      </rPr>
      <t xml:space="preserve"> Informar os percentuais correspondentes às alíquotas de retenção previstas nas IN RFB nº 1.234/2012, excluídos o IRPJ e a CSLL por força do Acórdão TCU nº 950/2007 – Plenário. Quanto ao ISSQN utilizar a alíquota prevista na legislação municipal onde os serviços serão prestados.</t>
    </r>
  </si>
  <si>
    <r>
      <t xml:space="preserve">(12) </t>
    </r>
    <r>
      <rPr>
        <sz val="10"/>
        <rFont val="Arial"/>
        <family val="2"/>
      </rPr>
      <t>Os custos com os benefícios referentes ao Plano de Saúde (Cláusula Décima Sexta, CCT SEAC/DF X SINDISERVIÇOS/DF, 2015/2015) serão ressarcidos mediante a efetiva comprovação dos gastos com a apresentação de contratos coletivos de Plano de Saúde firmados com operadoras autorizadas pela Agência Nacional de Saúde Suplementar. O valor mensal a ser ressarcido será limitado ao valor constante na Convenção Coletiva de Trabalho. Neste valor não deverão incidir encargos, impostos, taxe de lucro e administração, em razão de sua natureza.</t>
    </r>
  </si>
  <si>
    <r>
      <t xml:space="preserve">Salário de contínuo </t>
    </r>
    <r>
      <rPr>
        <b/>
        <sz val="10"/>
        <rFont val="Arial"/>
        <family val="2"/>
      </rPr>
      <t>(1)</t>
    </r>
  </si>
  <si>
    <r>
      <t>Valor do auxílio funeral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(8)</t>
    </r>
  </si>
  <si>
    <t>Serviço de Contínuo</t>
  </si>
  <si>
    <t>Preço mensal dos serv.da categoria (Faturamento x qde.Empregados)</t>
  </si>
  <si>
    <r>
      <t xml:space="preserve">Salário de copeira </t>
    </r>
    <r>
      <rPr>
        <b/>
        <sz val="10"/>
        <rFont val="Arial"/>
        <family val="2"/>
      </rPr>
      <t>(1)</t>
    </r>
  </si>
  <si>
    <r>
      <t>Valor da assistência odontológica (</t>
    </r>
    <r>
      <rPr>
        <b/>
        <sz val="10"/>
        <rFont val="Arial"/>
        <family val="2"/>
      </rPr>
      <t>7)</t>
    </r>
  </si>
  <si>
    <r>
      <t xml:space="preserve">Valor do auxílio funeral </t>
    </r>
    <r>
      <rPr>
        <b/>
        <sz val="10"/>
        <color indexed="8"/>
        <rFont val="Arial"/>
        <family val="2"/>
      </rPr>
      <t>(8)</t>
    </r>
  </si>
  <si>
    <t>INSUMOS DIVERSOS</t>
  </si>
  <si>
    <r>
      <t xml:space="preserve">Fornecimento de material </t>
    </r>
    <r>
      <rPr>
        <b/>
        <sz val="10"/>
        <rFont val="Arial"/>
        <family val="2"/>
      </rPr>
      <t>(9)</t>
    </r>
  </si>
  <si>
    <r>
      <t xml:space="preserve">Informar o percentual do ISSQN do município  </t>
    </r>
    <r>
      <rPr>
        <b/>
        <sz val="10"/>
        <rFont val="Arial"/>
        <family val="2"/>
      </rPr>
      <t>(12)</t>
    </r>
  </si>
  <si>
    <t>Serviço de Copeira</t>
  </si>
  <si>
    <r>
      <t xml:space="preserve">Encargos Sociais - 72,11% </t>
    </r>
    <r>
      <rPr>
        <b/>
        <sz val="10"/>
        <rFont val="Arial"/>
        <family val="2"/>
      </rPr>
      <t>(10)</t>
    </r>
  </si>
  <si>
    <t>Insumos Diversos</t>
  </si>
  <si>
    <t>Fornecimento de material</t>
  </si>
  <si>
    <t>Total de Insumos Diversos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</si>
  <si>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incidente sobre o somatório do Montante A e Insumos </t>
    </r>
    <r>
      <rPr>
        <b/>
        <sz val="10"/>
        <rFont val="Arial"/>
        <family val="2"/>
      </rPr>
      <t xml:space="preserve"> (11)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</si>
  <si>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(11)</t>
    </r>
  </si>
  <si>
    <t>Tributos (12)</t>
  </si>
  <si>
    <r>
      <t xml:space="preserve">Plano de Saúde </t>
    </r>
    <r>
      <rPr>
        <b/>
        <sz val="10"/>
        <rFont val="Arial"/>
        <family val="2"/>
      </rPr>
      <t>(13)</t>
    </r>
  </si>
  <si>
    <r>
      <t xml:space="preserve">(9) </t>
    </r>
    <r>
      <rPr>
        <sz val="10"/>
        <rFont val="Arial"/>
        <family val="2"/>
      </rPr>
      <t>informar o valor dos insumos diversos, desde que previsto na especificação.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</si>
  <si>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AUDIN/MPU.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</si>
  <si>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</si>
  <si>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RFB nº 1.234/2012, excluídos o IRPJ e a CSLL por força do Acórdão TCU nº 950/2007 – Plenário. Quanto ao ISSQN utilizar a alíquota prevista na legislação municipal onde os serviços serão prestados.</t>
    </r>
  </si>
  <si>
    <r>
      <t xml:space="preserve">(13) </t>
    </r>
    <r>
      <rPr>
        <sz val="10"/>
        <rFont val="Arial"/>
        <family val="2"/>
      </rPr>
      <t>Os custos com os benefícios referentes ao Plano de Saúde (Cláusula Décima Sexta, CCT SEAC/DF X SINDISERVIÇOS/DF, 2015/2015) serão ressarcidos mediante a efetiva comprovação dos gastos com a apresentação de contratos coletivos de Plano de Saúde firmados com operadoras autorizadas pela Agência Nacional de Saúde Suplementar. O valor mensal a ser ressarcido será limitado ao valor constante na Convenção Coletiva de Trabalho. Neste valor não deverão incidir encargos, impostos, taxe de lucro e administração, em razão de sua natureza.</t>
    </r>
  </si>
  <si>
    <r>
      <t xml:space="preserve">Salário de encarregado geral </t>
    </r>
    <r>
      <rPr>
        <b/>
        <sz val="10"/>
        <rFont val="Arial"/>
        <family val="2"/>
      </rPr>
      <t>(1)</t>
    </r>
  </si>
  <si>
    <r>
      <t>Valor da assistência odontológica</t>
    </r>
    <r>
      <rPr>
        <b/>
        <sz val="10"/>
        <rFont val="Arial"/>
        <family val="2"/>
      </rPr>
      <t xml:space="preserve"> (7)</t>
    </r>
  </si>
  <si>
    <r>
      <t xml:space="preserve">Fornecimento de equipamentos (uso geral) </t>
    </r>
    <r>
      <rPr>
        <b/>
        <sz val="10"/>
        <rFont val="Arial"/>
        <family val="2"/>
      </rPr>
      <t>(9)</t>
    </r>
  </si>
  <si>
    <t>Serviço de Encarregado Geral</t>
  </si>
  <si>
    <t>Fornecimento de equipamentos (uso gerência e uso geral)</t>
  </si>
  <si>
    <r>
      <t xml:space="preserve">Salário de garçom </t>
    </r>
    <r>
      <rPr>
        <b/>
        <sz val="10"/>
        <rFont val="Arial"/>
        <family val="2"/>
      </rPr>
      <t>(1)</t>
    </r>
  </si>
  <si>
    <t>Serviço de Garçom</t>
  </si>
  <si>
    <r>
      <t>Salário de lavador de automóvel</t>
    </r>
    <r>
      <rPr>
        <b/>
        <sz val="10"/>
        <rFont val="Arial"/>
        <family val="2"/>
      </rPr>
      <t xml:space="preserve"> (1)</t>
    </r>
  </si>
  <si>
    <r>
      <t xml:space="preserve">Fornecimento de equipamentos </t>
    </r>
    <r>
      <rPr>
        <b/>
        <sz val="10"/>
        <rFont val="Arial"/>
        <family val="2"/>
      </rPr>
      <t>(9)</t>
    </r>
  </si>
  <si>
    <t>Serviço de Lavador de automóvel</t>
  </si>
  <si>
    <t>Fornecimento de equipamentos</t>
  </si>
  <si>
    <r>
      <t xml:space="preserve">Salário de operador de fotocopiadora </t>
    </r>
    <r>
      <rPr>
        <b/>
        <sz val="10"/>
        <rFont val="Arial"/>
        <family val="2"/>
      </rPr>
      <t>(1)</t>
    </r>
  </si>
  <si>
    <t>Serviço de Operador de fotocopiadora</t>
  </si>
  <si>
    <r>
      <t xml:space="preserve">Salário de recepcionista, em geral </t>
    </r>
    <r>
      <rPr>
        <b/>
        <sz val="10"/>
        <rFont val="Arial"/>
        <family val="2"/>
      </rPr>
      <t>(1)</t>
    </r>
  </si>
  <si>
    <t>Serviço de Recepcionista</t>
  </si>
  <si>
    <t>Itens</t>
  </si>
  <si>
    <t>Postos</t>
  </si>
  <si>
    <t>Qtde de Postos</t>
  </si>
  <si>
    <t>Valor Unitário (R$)</t>
  </si>
  <si>
    <t>Valor Total (R$)</t>
  </si>
  <si>
    <t>Carregador</t>
  </si>
  <si>
    <t>Contínuo/mensageiro</t>
  </si>
  <si>
    <t>Copeiro</t>
  </si>
  <si>
    <t>Encarregado Geral</t>
  </si>
  <si>
    <t>Garçom</t>
  </si>
  <si>
    <t>Lavador de Automóvel</t>
  </si>
  <si>
    <t>Operador de Fotocopiadora</t>
  </si>
  <si>
    <t>Recepcionista, em Geral</t>
  </si>
  <si>
    <t>TOTAL MENSAL</t>
  </si>
  <si>
    <t>-</t>
  </si>
  <si>
    <t>TOTAL ANUAL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</si>
</sst>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\ ;\(0\)"/>
  </numFmts>
  <fonts count="5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 horizontal="center" vertical="top" wrapText="1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 horizontal="center"/>
      <protection locked="0"/>
    </xf>
    <xf numFmtId="39" fontId="0" fillId="0" borderId="10" xfId="0" applyNumberFormat="1" applyFont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3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39" fontId="5" fillId="33" borderId="0" xfId="0" applyNumberFormat="1" applyFont="1" applyFill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39" fontId="1" fillId="33" borderId="0" xfId="0" applyNumberFormat="1" applyFont="1" applyFill="1" applyAlignment="1" applyProtection="1">
      <alignment/>
      <protection/>
    </xf>
    <xf numFmtId="39" fontId="0" fillId="0" borderId="13" xfId="0" applyNumberFormat="1" applyFont="1" applyBorder="1" applyAlignment="1" applyProtection="1">
      <alignment vertical="center" wrapText="1"/>
      <protection/>
    </xf>
    <xf numFmtId="39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3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37" fontId="0" fillId="0" borderId="15" xfId="0" applyNumberFormat="1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39" fontId="0" fillId="0" borderId="12" xfId="0" applyNumberFormat="1" applyFont="1" applyBorder="1" applyAlignment="1" applyProtection="1">
      <alignment horizontal="center" vertical="center" wrapText="1"/>
      <protection/>
    </xf>
    <xf numFmtId="4" fontId="1" fillId="33" borderId="0" xfId="0" applyNumberFormat="1" applyFont="1" applyFill="1" applyAlignment="1" applyProtection="1">
      <alignment/>
      <protection/>
    </xf>
    <xf numFmtId="39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3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39" fontId="0" fillId="0" borderId="17" xfId="0" applyNumberFormat="1" applyFont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/>
    </xf>
    <xf numFmtId="39" fontId="0" fillId="0" borderId="10" xfId="0" applyNumberFormat="1" applyFon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3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39" fontId="0" fillId="34" borderId="12" xfId="0" applyNumberFormat="1" applyFont="1" applyFill="1" applyBorder="1" applyAlignment="1" applyProtection="1">
      <alignment horizontal="center" vertical="center" wrapText="1"/>
      <protection/>
    </xf>
    <xf numFmtId="39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18" xfId="0" applyFont="1" applyFill="1" applyBorder="1" applyAlignment="1" applyProtection="1">
      <alignment horizontal="justify"/>
      <protection/>
    </xf>
    <xf numFmtId="0" fontId="0" fillId="33" borderId="17" xfId="0" applyFont="1" applyFill="1" applyBorder="1" applyAlignment="1" applyProtection="1">
      <alignment horizontal="justify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wrapText="1"/>
      <protection/>
    </xf>
    <xf numFmtId="0" fontId="2" fillId="33" borderId="17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3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/>
      <protection/>
    </xf>
    <xf numFmtId="0" fontId="4" fillId="35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4" fontId="13" fillId="36" borderId="10" xfId="0" applyNumberFormat="1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 horizontal="justify"/>
      <protection/>
    </xf>
    <xf numFmtId="0" fontId="2" fillId="33" borderId="16" xfId="0" applyFont="1" applyFill="1" applyBorder="1" applyAlignment="1" applyProtection="1">
      <alignment horizontal="justify" vertical="center" wrapText="1"/>
      <protection/>
    </xf>
    <xf numFmtId="0" fontId="2" fillId="33" borderId="13" xfId="0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justify"/>
    </xf>
    <xf numFmtId="0" fontId="4" fillId="36" borderId="10" xfId="0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zoomScale="95" zoomScaleNormal="95" zoomScalePageLayoutView="0" workbookViewId="0" topLeftCell="A1">
      <selection activeCell="B2" sqref="B2:C72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2" t="s">
        <v>0</v>
      </c>
      <c r="C2" s="72"/>
    </row>
    <row r="3" spans="2:3" ht="15.75" customHeight="1">
      <c r="B3" s="73" t="s">
        <v>1</v>
      </c>
      <c r="C3" s="73"/>
    </row>
    <row r="4" spans="2:3" ht="15.75" customHeight="1">
      <c r="B4" s="73" t="s">
        <v>2</v>
      </c>
      <c r="C4" s="73"/>
    </row>
    <row r="5" spans="2:3" ht="15.75" customHeight="1">
      <c r="B5" s="2" t="s">
        <v>3</v>
      </c>
      <c r="C5" s="3">
        <v>952.22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2" t="s">
        <v>6</v>
      </c>
      <c r="C8" s="5">
        <v>5</v>
      </c>
    </row>
    <row r="9" spans="2:3" ht="15.75" customHeight="1">
      <c r="B9" s="74" t="s">
        <v>7</v>
      </c>
      <c r="C9" s="74"/>
    </row>
    <row r="10" spans="2:3" ht="15.75" customHeight="1">
      <c r="B10" s="6" t="s">
        <v>8</v>
      </c>
      <c r="C10" s="7">
        <v>75</v>
      </c>
    </row>
    <row r="11" spans="2:3" ht="15.75" customHeight="1">
      <c r="B11" s="8" t="s">
        <v>9</v>
      </c>
      <c r="C11" s="9">
        <v>8</v>
      </c>
    </row>
    <row r="12" spans="2:3" ht="15.75" customHeight="1">
      <c r="B12" s="2" t="s">
        <v>10</v>
      </c>
      <c r="C12" s="10">
        <v>24</v>
      </c>
    </row>
    <row r="13" spans="2:3" ht="15.75" customHeight="1">
      <c r="B13" s="2" t="s">
        <v>11</v>
      </c>
      <c r="C13" s="10">
        <v>4.5</v>
      </c>
    </row>
    <row r="14" spans="2:3" ht="15.75" customHeight="1">
      <c r="B14" s="2" t="s">
        <v>12</v>
      </c>
      <c r="C14" s="10">
        <v>2.5</v>
      </c>
    </row>
    <row r="15" spans="2:3" ht="15.75" customHeight="1">
      <c r="B15" s="75" t="s">
        <v>13</v>
      </c>
      <c r="C15" s="75"/>
    </row>
    <row r="16" spans="2:3" ht="15.75" customHeight="1">
      <c r="B16" s="6" t="s">
        <v>14</v>
      </c>
      <c r="C16" s="11">
        <v>5</v>
      </c>
    </row>
    <row r="17" spans="2:3" ht="15.75" customHeight="1">
      <c r="B17" s="12"/>
      <c r="C17" s="13"/>
    </row>
    <row r="18" s="14" customFormat="1" ht="15.75" customHeight="1">
      <c r="B18" s="15" t="s">
        <v>15</v>
      </c>
    </row>
    <row r="19" spans="2:3" s="14" customFormat="1" ht="15.75" customHeight="1">
      <c r="B19" s="15" t="s">
        <v>16</v>
      </c>
      <c r="C19" s="16" t="s">
        <v>17</v>
      </c>
    </row>
    <row r="20" spans="2:3" s="14" customFormat="1" ht="15.75" customHeight="1">
      <c r="B20" s="17"/>
      <c r="C20" s="18"/>
    </row>
    <row r="21" spans="2:3" s="14" customFormat="1" ht="15.75" customHeight="1">
      <c r="B21" s="76" t="s">
        <v>18</v>
      </c>
      <c r="C21" s="76" t="s">
        <v>19</v>
      </c>
    </row>
    <row r="22" spans="2:3" s="14" customFormat="1" ht="15.75" customHeight="1">
      <c r="B22" s="76"/>
      <c r="C22" s="76"/>
    </row>
    <row r="23" spans="2:3" s="14" customFormat="1" ht="15.75" customHeight="1">
      <c r="B23" s="19" t="s">
        <v>20</v>
      </c>
      <c r="C23" s="20"/>
    </row>
    <row r="24" spans="2:3" s="21" customFormat="1" ht="15.75" customHeight="1">
      <c r="B24" s="22" t="s">
        <v>21</v>
      </c>
      <c r="C24" s="23">
        <f>C5</f>
        <v>952.22</v>
      </c>
    </row>
    <row r="25" spans="2:3" s="21" customFormat="1" ht="15.75" customHeight="1">
      <c r="B25" s="22" t="s">
        <v>22</v>
      </c>
      <c r="C25" s="23">
        <f>C5*C6%</f>
        <v>0</v>
      </c>
    </row>
    <row r="26" spans="2:3" s="21" customFormat="1" ht="15.75" customHeight="1">
      <c r="B26" s="24" t="s">
        <v>23</v>
      </c>
      <c r="C26" s="25">
        <f>+C5*C7%</f>
        <v>0</v>
      </c>
    </row>
    <row r="27" spans="2:3" s="14" customFormat="1" ht="15.75" customHeight="1">
      <c r="B27" s="26" t="s">
        <v>24</v>
      </c>
      <c r="C27" s="27">
        <f>SUM(C24:C26)*0.7211</f>
        <v>686.6458420000001</v>
      </c>
    </row>
    <row r="28" spans="2:3" s="14" customFormat="1" ht="15.75" customHeight="1">
      <c r="B28" s="28" t="s">
        <v>25</v>
      </c>
      <c r="C28" s="29">
        <f>C8</f>
        <v>5</v>
      </c>
    </row>
    <row r="29" spans="2:3" s="14" customFormat="1" ht="15.75" customHeight="1">
      <c r="B29" s="30" t="s">
        <v>26</v>
      </c>
      <c r="C29" s="31">
        <f>SUM(C24:C27)</f>
        <v>1638.8658420000002</v>
      </c>
    </row>
    <row r="30" spans="2:3" s="14" customFormat="1" ht="15.75" customHeight="1">
      <c r="B30" s="19" t="s">
        <v>27</v>
      </c>
      <c r="C30" s="27"/>
    </row>
    <row r="31" spans="2:3" s="14" customFormat="1" ht="15.75" customHeight="1">
      <c r="B31" s="24" t="s">
        <v>28</v>
      </c>
      <c r="C31" s="23">
        <f>C10</f>
        <v>75</v>
      </c>
    </row>
    <row r="32" spans="2:3" s="14" customFormat="1" ht="15.75" customHeight="1">
      <c r="B32" s="26" t="s">
        <v>29</v>
      </c>
      <c r="C32" s="27">
        <f>($C$11*22)-(C24*0.06)</f>
        <v>118.8668</v>
      </c>
    </row>
    <row r="33" spans="2:3" s="14" customFormat="1" ht="15.75" customHeight="1">
      <c r="B33" s="26" t="s">
        <v>30</v>
      </c>
      <c r="C33" s="32">
        <f>$C$12*22</f>
        <v>528</v>
      </c>
    </row>
    <row r="34" spans="2:3" s="14" customFormat="1" ht="15.75" customHeight="1">
      <c r="B34" s="26" t="s">
        <v>31</v>
      </c>
      <c r="C34" s="27">
        <f>+C13</f>
        <v>4.5</v>
      </c>
    </row>
    <row r="35" spans="2:4" s="14" customFormat="1" ht="15.75" customHeight="1">
      <c r="B35" s="28" t="s">
        <v>32</v>
      </c>
      <c r="C35" s="27">
        <f>C14</f>
        <v>2.5</v>
      </c>
      <c r="D35" s="33"/>
    </row>
    <row r="36" spans="2:4" s="14" customFormat="1" ht="15.75" customHeight="1">
      <c r="B36" s="30" t="s">
        <v>33</v>
      </c>
      <c r="C36" s="34">
        <f>SUM(C31:C35)</f>
        <v>728.8668</v>
      </c>
      <c r="D36" s="33"/>
    </row>
    <row r="37" spans="1:12" s="37" customFormat="1" ht="15.75" customHeight="1">
      <c r="A37" s="14"/>
      <c r="B37" s="35" t="s">
        <v>34</v>
      </c>
      <c r="C37" s="36"/>
      <c r="D37" s="33"/>
      <c r="E37" s="14"/>
      <c r="F37" s="14"/>
      <c r="G37" s="14"/>
      <c r="H37" s="14"/>
      <c r="I37" s="14"/>
      <c r="J37" s="14"/>
      <c r="K37" s="14"/>
      <c r="L37" s="14"/>
    </row>
    <row r="38" spans="1:14" s="37" customFormat="1" ht="15.75" customHeight="1">
      <c r="A38" s="14"/>
      <c r="B38" s="26" t="s">
        <v>35</v>
      </c>
      <c r="C38" s="38">
        <f>(SUM($C$29+$C$36))*0.0531</f>
        <v>125.7266032902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s="14" customFormat="1" ht="15.75" customHeight="1">
      <c r="B39" s="28" t="s">
        <v>36</v>
      </c>
      <c r="C39" s="38">
        <f>(SUM($C$29+$C$36+$C38))*0.072</f>
        <v>179.52906566089442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14" customFormat="1" ht="15.75" customHeight="1">
      <c r="B40" s="30" t="s">
        <v>37</v>
      </c>
      <c r="C40" s="34">
        <f>SUM(C38:C39)</f>
        <v>305.25566895109444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3" s="14" customFormat="1" ht="15.75" customHeight="1">
      <c r="B41" s="39" t="s">
        <v>38</v>
      </c>
      <c r="C41" s="40"/>
    </row>
    <row r="42" spans="2:3" s="14" customFormat="1" ht="15.75" customHeight="1">
      <c r="B42" s="24" t="s">
        <v>39</v>
      </c>
      <c r="C42" s="23">
        <f>C48*0.0065</f>
        <v>19.019621260188412</v>
      </c>
    </row>
    <row r="43" spans="2:4" s="14" customFormat="1" ht="15.75" customHeight="1">
      <c r="B43" s="26" t="s">
        <v>40</v>
      </c>
      <c r="C43" s="27">
        <f>C48*0.03</f>
        <v>87.78286735471573</v>
      </c>
      <c r="D43" s="41" t="s">
        <v>41</v>
      </c>
    </row>
    <row r="44" spans="2:4" s="14" customFormat="1" ht="15.75" customHeight="1">
      <c r="B44" s="42" t="str">
        <f>(D43&amp;C16&amp;D44)</f>
        <v>ISSQN - 5 %</v>
      </c>
      <c r="C44" s="27">
        <f>$C$16%*C48</f>
        <v>146.30477892452623</v>
      </c>
      <c r="D44" s="41" t="s">
        <v>42</v>
      </c>
    </row>
    <row r="45" spans="2:5" s="14" customFormat="1" ht="15.75" customHeight="1">
      <c r="B45" s="30" t="s">
        <v>43</v>
      </c>
      <c r="C45" s="34">
        <f>SUM(C42:C44)</f>
        <v>253.10726753943038</v>
      </c>
      <c r="D45" s="21"/>
      <c r="E45" s="21"/>
    </row>
    <row r="46" spans="2:5" s="14" customFormat="1" ht="15.75" customHeight="1">
      <c r="B46" s="43" t="s">
        <v>44</v>
      </c>
      <c r="C46" s="44">
        <f>SUM(C36,C40,C45)</f>
        <v>1287.2297364905248</v>
      </c>
      <c r="E46" s="21"/>
    </row>
    <row r="47" spans="2:3" s="14" customFormat="1" ht="15.75" customHeight="1">
      <c r="B47" s="45"/>
      <c r="C47" s="46"/>
    </row>
    <row r="48" spans="2:5" s="14" customFormat="1" ht="15.75" customHeight="1">
      <c r="B48" s="24" t="s">
        <v>45</v>
      </c>
      <c r="C48" s="23">
        <f>SUM(C29,C36,C40)/((100-(3.65+$C$16))/100)</f>
        <v>2926.0955784905245</v>
      </c>
      <c r="E48" s="21"/>
    </row>
    <row r="49" spans="2:5" s="14" customFormat="1" ht="15.75" customHeight="1">
      <c r="B49" s="24" t="s">
        <v>46</v>
      </c>
      <c r="C49" s="23">
        <f>(C8*150)</f>
        <v>750</v>
      </c>
      <c r="E49" s="21"/>
    </row>
    <row r="50" spans="2:3" s="14" customFormat="1" ht="15.75" customHeight="1">
      <c r="B50" s="30" t="s">
        <v>47</v>
      </c>
      <c r="C50" s="47">
        <f>(C48*C28)+C49</f>
        <v>15380.477892452622</v>
      </c>
    </row>
    <row r="51" spans="2:12" s="48" customFormat="1" ht="15.75" customHeight="1">
      <c r="B51" s="49" t="s">
        <v>48</v>
      </c>
      <c r="C51" s="50">
        <f>C48/(SUM(C24:C26))</f>
        <v>3.072919680841113</v>
      </c>
      <c r="D51" s="14"/>
      <c r="E51" s="14"/>
      <c r="F51" s="14"/>
      <c r="G51" s="14"/>
      <c r="H51" s="14"/>
      <c r="I51" s="14"/>
      <c r="J51" s="14"/>
      <c r="K51" s="14"/>
      <c r="L51" s="14"/>
    </row>
    <row r="52" spans="2:12" s="51" customFormat="1" ht="15.75" customHeight="1">
      <c r="B52" s="52"/>
      <c r="C52" s="52"/>
      <c r="D52" s="14"/>
      <c r="E52" s="14"/>
      <c r="F52" s="14"/>
      <c r="G52" s="14"/>
      <c r="H52" s="14"/>
      <c r="I52" s="14"/>
      <c r="J52" s="14"/>
      <c r="K52" s="14"/>
      <c r="L52" s="14"/>
    </row>
    <row r="53" spans="2:12" s="51" customFormat="1" ht="15.75" customHeight="1">
      <c r="B53" s="52"/>
      <c r="C53" s="52"/>
      <c r="D53" s="14"/>
      <c r="E53" s="14"/>
      <c r="F53" s="14"/>
      <c r="G53" s="14"/>
      <c r="H53" s="14"/>
      <c r="I53" s="14"/>
      <c r="J53" s="14"/>
      <c r="K53" s="14"/>
      <c r="L53" s="14"/>
    </row>
    <row r="54" spans="2:12" s="51" customFormat="1" ht="15.75" customHeight="1">
      <c r="B54" s="77" t="s">
        <v>49</v>
      </c>
      <c r="C54" s="77"/>
      <c r="E54" s="14"/>
      <c r="F54" s="48"/>
      <c r="G54" s="48"/>
      <c r="H54" s="48"/>
      <c r="I54" s="48"/>
      <c r="J54" s="48"/>
      <c r="K54" s="48"/>
      <c r="L54" s="48"/>
    </row>
    <row r="55" spans="2:5" s="51" customFormat="1" ht="15.75" customHeight="1">
      <c r="B55" s="53" t="s">
        <v>50</v>
      </c>
      <c r="C55" s="54"/>
      <c r="D55" s="55"/>
      <c r="E55" s="14"/>
    </row>
    <row r="56" spans="2:5" s="51" customFormat="1" ht="15.75" customHeight="1">
      <c r="B56" s="78" t="s">
        <v>51</v>
      </c>
      <c r="C56" s="78"/>
      <c r="D56" s="55"/>
      <c r="E56" s="14"/>
    </row>
    <row r="57" spans="2:5" s="51" customFormat="1" ht="15.75" customHeight="1">
      <c r="B57" s="78" t="s">
        <v>52</v>
      </c>
      <c r="C57" s="78"/>
      <c r="D57" s="55"/>
      <c r="E57" s="14"/>
    </row>
    <row r="58" spans="2:12" s="14" customFormat="1" ht="15.75" customHeight="1">
      <c r="B58" s="78" t="s">
        <v>53</v>
      </c>
      <c r="C58" s="78"/>
      <c r="D58" s="55"/>
      <c r="F58" s="51"/>
      <c r="G58" s="51"/>
      <c r="H58" s="51"/>
      <c r="I58" s="51"/>
      <c r="J58" s="51"/>
      <c r="K58" s="51"/>
      <c r="L58" s="51"/>
    </row>
    <row r="59" spans="2:12" s="14" customFormat="1" ht="15.75" customHeight="1">
      <c r="B59" s="79" t="s">
        <v>54</v>
      </c>
      <c r="C59" s="79"/>
      <c r="D59" s="55"/>
      <c r="F59" s="51"/>
      <c r="G59" s="51"/>
      <c r="H59" s="51"/>
      <c r="I59" s="51"/>
      <c r="J59" s="51"/>
      <c r="K59" s="51"/>
      <c r="L59" s="51"/>
    </row>
    <row r="60" spans="2:4" s="14" customFormat="1" ht="15.75" customHeight="1">
      <c r="B60" s="53" t="s">
        <v>55</v>
      </c>
      <c r="C60" s="54"/>
      <c r="D60" s="56"/>
    </row>
    <row r="61" spans="2:12" s="51" customFormat="1" ht="15.75" customHeight="1">
      <c r="B61" s="53" t="s">
        <v>56</v>
      </c>
      <c r="C61" s="54"/>
      <c r="D61" s="56"/>
      <c r="E61" s="14"/>
      <c r="F61" s="14"/>
      <c r="G61" s="14"/>
      <c r="H61" s="14"/>
      <c r="I61" s="14"/>
      <c r="J61" s="14"/>
      <c r="K61" s="14"/>
      <c r="L61" s="14"/>
    </row>
    <row r="62" spans="2:4" s="14" customFormat="1" ht="15.75" customHeight="1">
      <c r="B62" s="57" t="s">
        <v>57</v>
      </c>
      <c r="C62" s="58"/>
      <c r="D62" s="56"/>
    </row>
    <row r="63" spans="2:5" s="51" customFormat="1" ht="15.75" customHeight="1">
      <c r="B63" s="53" t="s">
        <v>58</v>
      </c>
      <c r="C63" s="54"/>
      <c r="D63" s="55"/>
      <c r="E63" s="14"/>
    </row>
    <row r="64" spans="2:12" s="14" customFormat="1" ht="15.75" customHeight="1">
      <c r="B64" s="78" t="s">
        <v>59</v>
      </c>
      <c r="C64" s="78"/>
      <c r="D64" s="55"/>
      <c r="F64" s="51"/>
      <c r="G64" s="51"/>
      <c r="H64" s="51"/>
      <c r="I64" s="51"/>
      <c r="J64" s="51"/>
      <c r="K64" s="51"/>
      <c r="L64" s="51"/>
    </row>
    <row r="65" spans="2:4" s="14" customFormat="1" ht="12.75" customHeight="1">
      <c r="B65" s="80" t="s">
        <v>60</v>
      </c>
      <c r="C65" s="80"/>
      <c r="D65" s="56"/>
    </row>
    <row r="66" spans="2:4" s="14" customFormat="1" ht="11.25">
      <c r="B66" s="80"/>
      <c r="C66" s="80"/>
      <c r="D66" s="56"/>
    </row>
    <row r="67" spans="2:12" ht="12.75">
      <c r="B67" s="80"/>
      <c r="C67" s="80"/>
      <c r="D67" s="51"/>
      <c r="E67" s="14"/>
      <c r="F67" s="14"/>
      <c r="G67" s="14"/>
      <c r="H67" s="14"/>
      <c r="I67" s="14"/>
      <c r="J67" s="14"/>
      <c r="K67" s="14"/>
      <c r="L67" s="14"/>
    </row>
    <row r="68" spans="2:12" ht="14.25" customHeight="1">
      <c r="B68" s="81" t="s">
        <v>61</v>
      </c>
      <c r="C68" s="81"/>
      <c r="D68" s="51"/>
      <c r="E68" s="14"/>
      <c r="F68" s="14"/>
      <c r="G68" s="14"/>
      <c r="H68" s="14"/>
      <c r="I68" s="14"/>
      <c r="J68" s="14"/>
      <c r="K68" s="14"/>
      <c r="L68" s="14"/>
    </row>
    <row r="69" spans="2:3" ht="11.25">
      <c r="B69" s="81"/>
      <c r="C69" s="81"/>
    </row>
    <row r="70" spans="2:3" ht="11.25">
      <c r="B70" s="81"/>
      <c r="C70" s="81"/>
    </row>
    <row r="71" spans="2:3" ht="11.25">
      <c r="B71" s="81"/>
      <c r="C71" s="81"/>
    </row>
    <row r="72" spans="2:3" ht="11.25">
      <c r="B72" s="81"/>
      <c r="C72" s="81"/>
    </row>
  </sheetData>
  <sheetProtection selectLockedCells="1" selectUnlockedCells="1"/>
  <mergeCells count="15">
    <mergeCell ref="B65:C67"/>
    <mergeCell ref="B68:C72"/>
    <mergeCell ref="B54:C54"/>
    <mergeCell ref="B56:C56"/>
    <mergeCell ref="B57:C57"/>
    <mergeCell ref="B58:C58"/>
    <mergeCell ref="B59:C59"/>
    <mergeCell ref="B64:C64"/>
    <mergeCell ref="B2:C2"/>
    <mergeCell ref="B3:C3"/>
    <mergeCell ref="B4:C4"/>
    <mergeCell ref="B9:C9"/>
    <mergeCell ref="B15:C15"/>
    <mergeCell ref="B21:B22"/>
    <mergeCell ref="C21:C22"/>
  </mergeCells>
  <printOptions/>
  <pageMargins left="0.7875" right="0.7875" top="1.025" bottom="0.7875" header="0.7875" footer="0.5118055555555555"/>
  <pageSetup firstPageNumber="1" useFirstPageNumber="1" horizontalDpi="300" verticalDpi="300" orientation="portrait" paperSize="9" scale="58"/>
  <headerFooter alignWithMargins="0">
    <oddHeader>&amp;LPlanilha de Composição de Custos - AUDIN/MPU&amp;C&amp;A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1"/>
  <sheetViews>
    <sheetView zoomScale="95" zoomScaleNormal="95" zoomScalePageLayoutView="0" workbookViewId="0" topLeftCell="A1">
      <selection activeCell="B3" sqref="B3:C71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2" t="s">
        <v>0</v>
      </c>
      <c r="C2" s="72"/>
    </row>
    <row r="3" spans="2:3" ht="15.75" customHeight="1">
      <c r="B3" s="82" t="s">
        <v>1</v>
      </c>
      <c r="C3" s="82"/>
    </row>
    <row r="4" spans="2:3" ht="15.75" customHeight="1">
      <c r="B4" s="73" t="s">
        <v>2</v>
      </c>
      <c r="C4" s="73"/>
    </row>
    <row r="5" spans="2:3" ht="15.75" customHeight="1">
      <c r="B5" s="59" t="s">
        <v>62</v>
      </c>
      <c r="C5" s="3">
        <v>952.22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2" t="s">
        <v>6</v>
      </c>
      <c r="C8" s="5">
        <v>2</v>
      </c>
    </row>
    <row r="9" spans="2:3" ht="15.75" customHeight="1">
      <c r="B9" s="74" t="s">
        <v>7</v>
      </c>
      <c r="C9" s="74"/>
    </row>
    <row r="10" spans="2:3" ht="15.75" customHeight="1">
      <c r="B10" s="6" t="s">
        <v>8</v>
      </c>
      <c r="C10" s="7">
        <v>151</v>
      </c>
    </row>
    <row r="11" spans="2:3" ht="15.75" customHeight="1">
      <c r="B11" s="8" t="s">
        <v>9</v>
      </c>
      <c r="C11" s="9">
        <v>8</v>
      </c>
    </row>
    <row r="12" spans="2:3" ht="15.75" customHeight="1">
      <c r="B12" s="2" t="s">
        <v>10</v>
      </c>
      <c r="C12" s="10">
        <v>24</v>
      </c>
    </row>
    <row r="13" spans="2:3" ht="15.75" customHeight="1">
      <c r="B13" s="2" t="s">
        <v>11</v>
      </c>
      <c r="C13" s="10">
        <v>4.5</v>
      </c>
    </row>
    <row r="14" spans="2:3" ht="15.75" customHeight="1">
      <c r="B14" s="2" t="s">
        <v>63</v>
      </c>
      <c r="C14" s="10">
        <v>2.5</v>
      </c>
    </row>
    <row r="15" spans="2:3" ht="15.75" customHeight="1">
      <c r="B15" s="75" t="s">
        <v>13</v>
      </c>
      <c r="C15" s="75"/>
    </row>
    <row r="16" spans="2:3" ht="15.75" customHeight="1">
      <c r="B16" s="6" t="s">
        <v>14</v>
      </c>
      <c r="C16" s="11">
        <v>5</v>
      </c>
    </row>
    <row r="17" spans="2:3" ht="15.75" customHeight="1">
      <c r="B17" s="12"/>
      <c r="C17" s="13"/>
    </row>
    <row r="18" s="14" customFormat="1" ht="15.75" customHeight="1">
      <c r="B18" s="15" t="s">
        <v>15</v>
      </c>
    </row>
    <row r="19" spans="2:3" s="14" customFormat="1" ht="15.75" customHeight="1">
      <c r="B19" s="15" t="s">
        <v>64</v>
      </c>
      <c r="C19" s="16" t="s">
        <v>17</v>
      </c>
    </row>
    <row r="20" spans="2:3" s="14" customFormat="1" ht="15.75" customHeight="1">
      <c r="B20" s="17"/>
      <c r="C20" s="18"/>
    </row>
    <row r="21" spans="2:3" s="14" customFormat="1" ht="15.75" customHeight="1">
      <c r="B21" s="76" t="s">
        <v>18</v>
      </c>
      <c r="C21" s="76" t="s">
        <v>19</v>
      </c>
    </row>
    <row r="22" spans="2:3" s="14" customFormat="1" ht="15.75" customHeight="1">
      <c r="B22" s="76"/>
      <c r="C22" s="76"/>
    </row>
    <row r="23" spans="2:3" s="14" customFormat="1" ht="15.75" customHeight="1">
      <c r="B23" s="19" t="s">
        <v>20</v>
      </c>
      <c r="C23" s="20"/>
    </row>
    <row r="24" spans="2:3" s="21" customFormat="1" ht="15.75" customHeight="1">
      <c r="B24" s="22" t="s">
        <v>21</v>
      </c>
      <c r="C24" s="23">
        <f>C5</f>
        <v>952.22</v>
      </c>
    </row>
    <row r="25" spans="2:3" s="21" customFormat="1" ht="15.75" customHeight="1">
      <c r="B25" s="22" t="s">
        <v>22</v>
      </c>
      <c r="C25" s="23">
        <f>C5*C6%</f>
        <v>0</v>
      </c>
    </row>
    <row r="26" spans="2:3" s="21" customFormat="1" ht="15.75" customHeight="1">
      <c r="B26" s="24" t="s">
        <v>23</v>
      </c>
      <c r="C26" s="25">
        <f>+C5*C7%</f>
        <v>0</v>
      </c>
    </row>
    <row r="27" spans="2:3" s="14" customFormat="1" ht="15.75" customHeight="1">
      <c r="B27" s="26" t="s">
        <v>24</v>
      </c>
      <c r="C27" s="27">
        <f>SUM(C24:C26)*0.7211</f>
        <v>686.6458420000001</v>
      </c>
    </row>
    <row r="28" spans="2:3" s="14" customFormat="1" ht="15.75" customHeight="1">
      <c r="B28" s="28" t="s">
        <v>25</v>
      </c>
      <c r="C28" s="29">
        <f>C8</f>
        <v>2</v>
      </c>
    </row>
    <row r="29" spans="2:3" s="14" customFormat="1" ht="15.75" customHeight="1">
      <c r="B29" s="30" t="s">
        <v>26</v>
      </c>
      <c r="C29" s="31">
        <f>SUM(C24:C27)</f>
        <v>1638.8658420000002</v>
      </c>
    </row>
    <row r="30" spans="2:3" s="14" customFormat="1" ht="15.75" customHeight="1">
      <c r="B30" s="19" t="s">
        <v>27</v>
      </c>
      <c r="C30" s="27"/>
    </row>
    <row r="31" spans="2:3" s="14" customFormat="1" ht="15.75" customHeight="1">
      <c r="B31" s="24" t="s">
        <v>28</v>
      </c>
      <c r="C31" s="23">
        <f>C10</f>
        <v>151</v>
      </c>
    </row>
    <row r="32" spans="2:3" s="14" customFormat="1" ht="15.75" customHeight="1">
      <c r="B32" s="26" t="s">
        <v>29</v>
      </c>
      <c r="C32" s="27">
        <f>($C$11*22)-(C24*0.06)</f>
        <v>118.8668</v>
      </c>
    </row>
    <row r="33" spans="2:3" s="14" customFormat="1" ht="15.75" customHeight="1">
      <c r="B33" s="26" t="s">
        <v>30</v>
      </c>
      <c r="C33" s="32">
        <f>$C$12*22</f>
        <v>528</v>
      </c>
    </row>
    <row r="34" spans="2:3" s="14" customFormat="1" ht="15.75" customHeight="1">
      <c r="B34" s="26" t="s">
        <v>31</v>
      </c>
      <c r="C34" s="27">
        <f>+C13</f>
        <v>4.5</v>
      </c>
    </row>
    <row r="35" spans="2:4" s="14" customFormat="1" ht="15.75" customHeight="1">
      <c r="B35" s="28" t="s">
        <v>32</v>
      </c>
      <c r="C35" s="27">
        <f>C14</f>
        <v>2.5</v>
      </c>
      <c r="D35" s="33"/>
    </row>
    <row r="36" spans="2:4" s="14" customFormat="1" ht="15.75" customHeight="1">
      <c r="B36" s="30" t="s">
        <v>33</v>
      </c>
      <c r="C36" s="34">
        <f>SUM(C31:C35)</f>
        <v>804.8668</v>
      </c>
      <c r="D36" s="33"/>
    </row>
    <row r="37" spans="1:12" s="37" customFormat="1" ht="15.75" customHeight="1">
      <c r="A37" s="14"/>
      <c r="B37" s="35" t="s">
        <v>34</v>
      </c>
      <c r="C37" s="36"/>
      <c r="D37" s="33"/>
      <c r="E37" s="14"/>
      <c r="F37" s="14"/>
      <c r="G37" s="14"/>
      <c r="H37" s="14"/>
      <c r="I37" s="14"/>
      <c r="J37" s="14"/>
      <c r="K37" s="14"/>
      <c r="L37" s="14"/>
    </row>
    <row r="38" spans="1:14" s="37" customFormat="1" ht="15.75" customHeight="1">
      <c r="A38" s="14"/>
      <c r="B38" s="26" t="s">
        <v>35</v>
      </c>
      <c r="C38" s="38">
        <f>(SUM($C$29+$C$36))*0.0531</f>
        <v>129.7622032902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s="14" customFormat="1" ht="15.75" customHeight="1">
      <c r="B39" s="28" t="s">
        <v>36</v>
      </c>
      <c r="C39" s="38">
        <f>(SUM($C$29+$C$36+$C38))*0.072</f>
        <v>185.2916288608944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14" customFormat="1" ht="15.75" customHeight="1">
      <c r="B40" s="30" t="s">
        <v>37</v>
      </c>
      <c r="C40" s="34">
        <f>SUM(C38:C39)</f>
        <v>315.0538321510944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3" s="14" customFormat="1" ht="15.75" customHeight="1">
      <c r="B41" s="39" t="s">
        <v>38</v>
      </c>
      <c r="C41" s="40"/>
    </row>
    <row r="42" spans="2:3" s="14" customFormat="1" ht="15.75" customHeight="1">
      <c r="B42" s="24" t="s">
        <v>39</v>
      </c>
      <c r="C42" s="23">
        <f>C48*0.0065</f>
        <v>19.630117221655297</v>
      </c>
    </row>
    <row r="43" spans="2:4" s="14" customFormat="1" ht="15.75" customHeight="1">
      <c r="B43" s="26" t="s">
        <v>40</v>
      </c>
      <c r="C43" s="27">
        <f>C48*0.03</f>
        <v>90.60054102302445</v>
      </c>
      <c r="D43" s="41" t="s">
        <v>41</v>
      </c>
    </row>
    <row r="44" spans="2:4" s="14" customFormat="1" ht="15.75" customHeight="1">
      <c r="B44" s="42" t="str">
        <f>(D43&amp;C16&amp;D44)</f>
        <v>ISSQN - 5 %</v>
      </c>
      <c r="C44" s="27">
        <f>$C$16%*C48</f>
        <v>151.00090170504075</v>
      </c>
      <c r="D44" s="41" t="s">
        <v>42</v>
      </c>
    </row>
    <row r="45" spans="2:5" s="14" customFormat="1" ht="15.75" customHeight="1">
      <c r="B45" s="30" t="s">
        <v>43</v>
      </c>
      <c r="C45" s="34">
        <f>SUM(C42:C44)</f>
        <v>261.23155994972046</v>
      </c>
      <c r="D45" s="21"/>
      <c r="E45" s="21"/>
    </row>
    <row r="46" spans="2:5" s="14" customFormat="1" ht="15.75" customHeight="1">
      <c r="B46" s="43" t="s">
        <v>44</v>
      </c>
      <c r="C46" s="44">
        <f>SUM(C36,C40,C45)</f>
        <v>1381.1521921008148</v>
      </c>
      <c r="E46" s="21"/>
    </row>
    <row r="47" spans="2:3" s="14" customFormat="1" ht="15.75" customHeight="1">
      <c r="B47" s="45"/>
      <c r="C47" s="46"/>
    </row>
    <row r="48" spans="2:5" s="14" customFormat="1" ht="15.75" customHeight="1">
      <c r="B48" s="24" t="s">
        <v>45</v>
      </c>
      <c r="C48" s="23">
        <f>SUM(C29,C36,C40)/((100-(3.65+$C$16))/100)</f>
        <v>3020.018034100815</v>
      </c>
      <c r="E48" s="21"/>
    </row>
    <row r="49" spans="2:5" s="14" customFormat="1" ht="15.75" customHeight="1">
      <c r="B49" s="24" t="s">
        <v>46</v>
      </c>
      <c r="C49" s="23">
        <f>(C8*150)</f>
        <v>300</v>
      </c>
      <c r="E49" s="21"/>
    </row>
    <row r="50" spans="2:3" s="14" customFormat="1" ht="15.75" customHeight="1">
      <c r="B50" s="30" t="s">
        <v>65</v>
      </c>
      <c r="C50" s="47">
        <f>(C48*C28)+C49</f>
        <v>6340.03606820163</v>
      </c>
    </row>
    <row r="51" spans="2:12" s="48" customFormat="1" ht="15.75" customHeight="1">
      <c r="B51" s="49" t="s">
        <v>48</v>
      </c>
      <c r="C51" s="50">
        <f>C48/(SUM(C24:C26))</f>
        <v>3.171554928588787</v>
      </c>
      <c r="D51" s="14"/>
      <c r="E51" s="14"/>
      <c r="F51" s="14"/>
      <c r="G51" s="14"/>
      <c r="H51" s="14"/>
      <c r="I51" s="14"/>
      <c r="J51" s="14"/>
      <c r="K51" s="14"/>
      <c r="L51" s="14"/>
    </row>
    <row r="52" spans="2:12" s="51" customFormat="1" ht="15.75" customHeight="1">
      <c r="B52" s="52"/>
      <c r="C52" s="52"/>
      <c r="D52" s="14"/>
      <c r="E52" s="14"/>
      <c r="F52" s="14"/>
      <c r="G52" s="14"/>
      <c r="H52" s="14"/>
      <c r="I52" s="14"/>
      <c r="J52" s="14"/>
      <c r="K52" s="14"/>
      <c r="L52" s="14"/>
    </row>
    <row r="53" spans="2:12" s="51" customFormat="1" ht="15.75" customHeight="1">
      <c r="B53" s="77" t="s">
        <v>49</v>
      </c>
      <c r="C53" s="77"/>
      <c r="E53" s="14"/>
      <c r="F53" s="48"/>
      <c r="G53" s="48"/>
      <c r="H53" s="48"/>
      <c r="I53" s="48"/>
      <c r="J53" s="48"/>
      <c r="K53" s="48"/>
      <c r="L53" s="48"/>
    </row>
    <row r="54" spans="2:5" s="51" customFormat="1" ht="15.75" customHeight="1">
      <c r="B54" s="53" t="s">
        <v>50</v>
      </c>
      <c r="C54" s="54"/>
      <c r="D54" s="55"/>
      <c r="E54" s="14"/>
    </row>
    <row r="55" spans="2:5" s="51" customFormat="1" ht="15.75" customHeight="1">
      <c r="B55" s="78" t="s">
        <v>51</v>
      </c>
      <c r="C55" s="78"/>
      <c r="D55" s="55"/>
      <c r="E55" s="14"/>
    </row>
    <row r="56" spans="2:5" s="51" customFormat="1" ht="15.75" customHeight="1">
      <c r="B56" s="78" t="s">
        <v>52</v>
      </c>
      <c r="C56" s="78"/>
      <c r="D56" s="55"/>
      <c r="E56" s="14"/>
    </row>
    <row r="57" spans="2:12" s="14" customFormat="1" ht="15.75" customHeight="1">
      <c r="B57" s="78" t="s">
        <v>53</v>
      </c>
      <c r="C57" s="78"/>
      <c r="D57" s="55"/>
      <c r="F57" s="51"/>
      <c r="G57" s="51"/>
      <c r="H57" s="51"/>
      <c r="I57" s="51"/>
      <c r="J57" s="51"/>
      <c r="K57" s="51"/>
      <c r="L57" s="51"/>
    </row>
    <row r="58" spans="2:12" s="14" customFormat="1" ht="15.75" customHeight="1">
      <c r="B58" s="79" t="s">
        <v>54</v>
      </c>
      <c r="C58" s="79"/>
      <c r="D58" s="55"/>
      <c r="F58" s="51"/>
      <c r="G58" s="51"/>
      <c r="H58" s="51"/>
      <c r="I58" s="51"/>
      <c r="J58" s="51"/>
      <c r="K58" s="51"/>
      <c r="L58" s="51"/>
    </row>
    <row r="59" spans="2:4" s="14" customFormat="1" ht="15.75" customHeight="1">
      <c r="B59" s="53" t="s">
        <v>55</v>
      </c>
      <c r="C59" s="54"/>
      <c r="D59" s="56"/>
    </row>
    <row r="60" spans="2:12" s="51" customFormat="1" ht="15.75" customHeight="1">
      <c r="B60" s="53" t="s">
        <v>56</v>
      </c>
      <c r="C60" s="54"/>
      <c r="D60" s="56"/>
      <c r="E60" s="14"/>
      <c r="F60" s="14"/>
      <c r="G60" s="14"/>
      <c r="H60" s="14"/>
      <c r="I60" s="14"/>
      <c r="J60" s="14"/>
      <c r="K60" s="14"/>
      <c r="L60" s="14"/>
    </row>
    <row r="61" spans="2:4" s="14" customFormat="1" ht="15.75" customHeight="1">
      <c r="B61" s="57" t="s">
        <v>57</v>
      </c>
      <c r="C61" s="58"/>
      <c r="D61" s="56"/>
    </row>
    <row r="62" spans="2:5" s="51" customFormat="1" ht="15.75" customHeight="1">
      <c r="B62" s="53" t="s">
        <v>58</v>
      </c>
      <c r="C62" s="54"/>
      <c r="D62" s="55"/>
      <c r="E62" s="14"/>
    </row>
    <row r="63" spans="2:12" s="14" customFormat="1" ht="15.75" customHeight="1">
      <c r="B63" s="78" t="s">
        <v>59</v>
      </c>
      <c r="C63" s="78"/>
      <c r="D63" s="55"/>
      <c r="F63" s="51"/>
      <c r="G63" s="51"/>
      <c r="H63" s="51"/>
      <c r="I63" s="51"/>
      <c r="J63" s="51"/>
      <c r="K63" s="51"/>
      <c r="L63" s="51"/>
    </row>
    <row r="64" spans="2:4" s="14" customFormat="1" ht="12.75" customHeight="1">
      <c r="B64" s="80" t="s">
        <v>60</v>
      </c>
      <c r="C64" s="80"/>
      <c r="D64" s="56"/>
    </row>
    <row r="65" spans="2:4" s="14" customFormat="1" ht="15.75" customHeight="1">
      <c r="B65" s="80"/>
      <c r="C65" s="80"/>
      <c r="D65" s="56"/>
    </row>
    <row r="66" spans="2:12" ht="12.75">
      <c r="B66" s="80"/>
      <c r="C66" s="80"/>
      <c r="D66" s="51"/>
      <c r="E66" s="14"/>
      <c r="F66" s="14"/>
      <c r="G66" s="14"/>
      <c r="H66" s="14"/>
      <c r="I66" s="14"/>
      <c r="J66" s="14"/>
      <c r="K66" s="14"/>
      <c r="L66" s="14"/>
    </row>
    <row r="67" spans="2:3" ht="12.75" customHeight="1">
      <c r="B67" s="81" t="s">
        <v>61</v>
      </c>
      <c r="C67" s="81"/>
    </row>
    <row r="68" spans="2:3" ht="11.25">
      <c r="B68" s="81"/>
      <c r="C68" s="81"/>
    </row>
    <row r="69" spans="2:3" ht="11.25">
      <c r="B69" s="81"/>
      <c r="C69" s="81"/>
    </row>
    <row r="70" spans="2:3" ht="11.25">
      <c r="B70" s="81"/>
      <c r="C70" s="81"/>
    </row>
    <row r="71" spans="2:3" ht="11.25">
      <c r="B71" s="81"/>
      <c r="C71" s="81"/>
    </row>
  </sheetData>
  <sheetProtection selectLockedCells="1" selectUnlockedCells="1"/>
  <mergeCells count="15">
    <mergeCell ref="B64:C66"/>
    <mergeCell ref="B67:C71"/>
    <mergeCell ref="B53:C53"/>
    <mergeCell ref="B55:C55"/>
    <mergeCell ref="B56:C56"/>
    <mergeCell ref="B57:C57"/>
    <mergeCell ref="B58:C58"/>
    <mergeCell ref="B63:C63"/>
    <mergeCell ref="B2:C2"/>
    <mergeCell ref="B3:C3"/>
    <mergeCell ref="B4:C4"/>
    <mergeCell ref="B9:C9"/>
    <mergeCell ref="B15:C15"/>
    <mergeCell ref="B21:B22"/>
    <mergeCell ref="C21:C22"/>
  </mergeCells>
  <printOptions/>
  <pageMargins left="0.7875" right="0.7875" top="1.025" bottom="0.7875" header="0.7875" footer="0.5118055555555555"/>
  <pageSetup horizontalDpi="300" verticalDpi="300" orientation="portrait" paperSize="9" scale="58"/>
  <headerFooter alignWithMargins="0">
    <oddHeader>&amp;LPlanilha de Composição de Custos - AUDIN/MPU&amp;C&amp;A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1"/>
  <sheetViews>
    <sheetView zoomScale="95" zoomScaleNormal="95" zoomScalePageLayoutView="0" workbookViewId="0" topLeftCell="A1">
      <selection activeCell="B3" sqref="B3:C71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2" t="s">
        <v>0</v>
      </c>
      <c r="C2" s="72"/>
    </row>
    <row r="3" spans="2:3" ht="15.75" customHeight="1">
      <c r="B3" s="73" t="s">
        <v>1</v>
      </c>
      <c r="C3" s="73"/>
    </row>
    <row r="4" spans="2:3" ht="15.75" customHeight="1">
      <c r="B4" s="73" t="s">
        <v>2</v>
      </c>
      <c r="C4" s="73"/>
    </row>
    <row r="5" spans="2:3" ht="15.75" customHeight="1">
      <c r="B5" s="2" t="s">
        <v>66</v>
      </c>
      <c r="C5" s="3">
        <v>952.22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2" t="s">
        <v>6</v>
      </c>
      <c r="C8" s="5">
        <v>8</v>
      </c>
    </row>
    <row r="9" spans="2:3" ht="15.75" customHeight="1">
      <c r="B9" s="74" t="s">
        <v>7</v>
      </c>
      <c r="C9" s="74"/>
    </row>
    <row r="10" spans="2:3" ht="15.75" customHeight="1">
      <c r="B10" s="6" t="s">
        <v>8</v>
      </c>
      <c r="C10" s="7">
        <v>120.33</v>
      </c>
    </row>
    <row r="11" spans="2:3" ht="15.75" customHeight="1">
      <c r="B11" s="8" t="s">
        <v>9</v>
      </c>
      <c r="C11" s="9">
        <v>8</v>
      </c>
    </row>
    <row r="12" spans="2:3" ht="15.75" customHeight="1">
      <c r="B12" s="2" t="s">
        <v>10</v>
      </c>
      <c r="C12" s="10">
        <v>24</v>
      </c>
    </row>
    <row r="13" spans="2:3" ht="15.75" customHeight="1">
      <c r="B13" s="2" t="s">
        <v>67</v>
      </c>
      <c r="C13" s="10">
        <v>4.5</v>
      </c>
    </row>
    <row r="14" spans="2:3" ht="15.75" customHeight="1">
      <c r="B14" s="2" t="s">
        <v>68</v>
      </c>
      <c r="C14" s="10">
        <v>2.5</v>
      </c>
    </row>
    <row r="15" spans="2:3" ht="15.75" customHeight="1">
      <c r="B15" s="74" t="s">
        <v>69</v>
      </c>
      <c r="C15" s="74"/>
    </row>
    <row r="16" spans="2:3" ht="15.75" customHeight="1">
      <c r="B16" s="2" t="s">
        <v>70</v>
      </c>
      <c r="C16" s="10">
        <v>62.92</v>
      </c>
    </row>
    <row r="17" spans="2:3" ht="15.75" customHeight="1">
      <c r="B17" s="75" t="s">
        <v>13</v>
      </c>
      <c r="C17" s="75"/>
    </row>
    <row r="18" spans="2:3" ht="15.75" customHeight="1">
      <c r="B18" s="6" t="s">
        <v>71</v>
      </c>
      <c r="C18" s="11">
        <v>5</v>
      </c>
    </row>
    <row r="19" spans="2:3" ht="8.25" customHeight="1">
      <c r="B19" s="12"/>
      <c r="C19" s="13"/>
    </row>
    <row r="20" s="14" customFormat="1" ht="15.75" customHeight="1">
      <c r="B20" s="15" t="s">
        <v>15</v>
      </c>
    </row>
    <row r="21" spans="2:3" s="14" customFormat="1" ht="14.25" customHeight="1">
      <c r="B21" s="15" t="s">
        <v>72</v>
      </c>
      <c r="C21" s="16" t="s">
        <v>17</v>
      </c>
    </row>
    <row r="22" spans="2:3" s="14" customFormat="1" ht="7.5" customHeight="1">
      <c r="B22" s="17"/>
      <c r="C22" s="18"/>
    </row>
    <row r="23" spans="2:3" s="14" customFormat="1" ht="15.75" customHeight="1">
      <c r="B23" s="76" t="s">
        <v>18</v>
      </c>
      <c r="C23" s="76" t="s">
        <v>19</v>
      </c>
    </row>
    <row r="24" spans="2:3" s="14" customFormat="1" ht="15.75" customHeight="1">
      <c r="B24" s="76"/>
      <c r="C24" s="76"/>
    </row>
    <row r="25" spans="2:3" s="14" customFormat="1" ht="15.75" customHeight="1">
      <c r="B25" s="19" t="s">
        <v>20</v>
      </c>
      <c r="C25" s="20"/>
    </row>
    <row r="26" spans="2:3" s="21" customFormat="1" ht="15.75" customHeight="1">
      <c r="B26" s="22" t="s">
        <v>21</v>
      </c>
      <c r="C26" s="23">
        <f>C5</f>
        <v>952.22</v>
      </c>
    </row>
    <row r="27" spans="2:3" s="21" customFormat="1" ht="15.75" customHeight="1">
      <c r="B27" s="22" t="s">
        <v>22</v>
      </c>
      <c r="C27" s="23">
        <f>C5*C6%</f>
        <v>0</v>
      </c>
    </row>
    <row r="28" spans="2:3" s="21" customFormat="1" ht="15.75" customHeight="1">
      <c r="B28" s="24" t="s">
        <v>23</v>
      </c>
      <c r="C28" s="25">
        <f>+C5*C7%</f>
        <v>0</v>
      </c>
    </row>
    <row r="29" spans="2:3" s="14" customFormat="1" ht="15.75" customHeight="1">
      <c r="B29" s="26" t="s">
        <v>73</v>
      </c>
      <c r="C29" s="27">
        <f>SUM(C26:C28)*0.7211</f>
        <v>686.6458420000001</v>
      </c>
    </row>
    <row r="30" spans="2:3" s="14" customFormat="1" ht="15.75" customHeight="1">
      <c r="B30" s="28" t="s">
        <v>25</v>
      </c>
      <c r="C30" s="29">
        <f>C8</f>
        <v>8</v>
      </c>
    </row>
    <row r="31" spans="2:3" s="14" customFormat="1" ht="15.75" customHeight="1">
      <c r="B31" s="30" t="s">
        <v>26</v>
      </c>
      <c r="C31" s="31">
        <f>SUM(C26:C29)</f>
        <v>1638.8658420000002</v>
      </c>
    </row>
    <row r="32" spans="2:3" s="14" customFormat="1" ht="15.75" customHeight="1">
      <c r="B32" s="19" t="s">
        <v>27</v>
      </c>
      <c r="C32" s="27"/>
    </row>
    <row r="33" spans="2:3" s="14" customFormat="1" ht="15.75" customHeight="1">
      <c r="B33" s="24" t="s">
        <v>28</v>
      </c>
      <c r="C33" s="23">
        <f>C10</f>
        <v>120.33</v>
      </c>
    </row>
    <row r="34" spans="2:3" s="14" customFormat="1" ht="15.75" customHeight="1">
      <c r="B34" s="26" t="s">
        <v>29</v>
      </c>
      <c r="C34" s="27">
        <f>($C$11*22)-(C26*0.06)</f>
        <v>118.8668</v>
      </c>
    </row>
    <row r="35" spans="2:3" s="14" customFormat="1" ht="15.75" customHeight="1">
      <c r="B35" s="26" t="s">
        <v>30</v>
      </c>
      <c r="C35" s="32">
        <f>$C$12*22</f>
        <v>528</v>
      </c>
    </row>
    <row r="36" spans="2:3" s="14" customFormat="1" ht="15.75" customHeight="1">
      <c r="B36" s="26" t="s">
        <v>31</v>
      </c>
      <c r="C36" s="27">
        <f>+C13</f>
        <v>4.5</v>
      </c>
    </row>
    <row r="37" spans="2:4" s="14" customFormat="1" ht="15.75" customHeight="1">
      <c r="B37" s="28" t="s">
        <v>32</v>
      </c>
      <c r="C37" s="27">
        <f>C14</f>
        <v>2.5</v>
      </c>
      <c r="D37" s="33"/>
    </row>
    <row r="38" spans="2:4" s="14" customFormat="1" ht="15.75" customHeight="1">
      <c r="B38" s="30" t="s">
        <v>33</v>
      </c>
      <c r="C38" s="34">
        <f>SUM(C33:C37)</f>
        <v>774.1967999999999</v>
      </c>
      <c r="D38" s="33"/>
    </row>
    <row r="39" spans="2:4" s="14" customFormat="1" ht="15.75" customHeight="1">
      <c r="B39" s="60" t="s">
        <v>74</v>
      </c>
      <c r="C39" s="61"/>
      <c r="D39" s="33"/>
    </row>
    <row r="40" spans="2:4" s="14" customFormat="1" ht="15.75" customHeight="1">
      <c r="B40" s="62" t="s">
        <v>75</v>
      </c>
      <c r="C40" s="38">
        <f>C16</f>
        <v>62.92</v>
      </c>
      <c r="D40" s="33"/>
    </row>
    <row r="41" spans="2:4" s="14" customFormat="1" ht="15.75" customHeight="1">
      <c r="B41" s="30" t="s">
        <v>76</v>
      </c>
      <c r="C41" s="34">
        <f>SUM(C40)</f>
        <v>62.92</v>
      </c>
      <c r="D41" s="33"/>
    </row>
    <row r="42" spans="1:12" s="37" customFormat="1" ht="15.75" customHeight="1">
      <c r="A42" s="14"/>
      <c r="B42" s="35" t="s">
        <v>34</v>
      </c>
      <c r="C42" s="36"/>
      <c r="D42" s="33"/>
      <c r="E42" s="14"/>
      <c r="F42" s="14"/>
      <c r="G42" s="14"/>
      <c r="H42" s="14"/>
      <c r="I42" s="14"/>
      <c r="J42" s="14"/>
      <c r="K42" s="14"/>
      <c r="L42" s="14"/>
    </row>
    <row r="43" spans="1:14" s="37" customFormat="1" ht="15.75" customHeight="1">
      <c r="A43" s="14"/>
      <c r="B43" s="26" t="s">
        <v>77</v>
      </c>
      <c r="C43" s="38">
        <f>(SUM($C$31+$C$38+C41))*0.0531</f>
        <v>131.4746782902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s="14" customFormat="1" ht="15.75" customHeight="1">
      <c r="B44" s="28" t="s">
        <v>78</v>
      </c>
      <c r="C44" s="38">
        <f>(SUM($C$31+$C$38+$C43+C41))*0.072</f>
        <v>187.7369270608944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s="14" customFormat="1" ht="15.75" customHeight="1">
      <c r="B45" s="30" t="s">
        <v>37</v>
      </c>
      <c r="C45" s="34">
        <f>SUM(C43:C44)</f>
        <v>319.21160535109436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3" s="14" customFormat="1" ht="15.75" customHeight="1">
      <c r="B46" s="39" t="s">
        <v>79</v>
      </c>
      <c r="C46" s="40"/>
    </row>
    <row r="47" spans="2:3" s="14" customFormat="1" ht="15.75" customHeight="1">
      <c r="B47" s="24" t="s">
        <v>39</v>
      </c>
      <c r="C47" s="23">
        <f>C53*0.0065</f>
        <v>19.889176363198814</v>
      </c>
    </row>
    <row r="48" spans="2:4" s="14" customFormat="1" ht="15.75" customHeight="1">
      <c r="B48" s="26" t="s">
        <v>40</v>
      </c>
      <c r="C48" s="27">
        <f>C53*0.03</f>
        <v>91.79619859937912</v>
      </c>
      <c r="D48" s="41" t="s">
        <v>41</v>
      </c>
    </row>
    <row r="49" spans="2:4" s="14" customFormat="1" ht="15.75" customHeight="1">
      <c r="B49" s="42" t="str">
        <f>(D48&amp;C18&amp;D49)</f>
        <v>ISSQN - 5 %</v>
      </c>
      <c r="C49" s="27"/>
      <c r="D49" s="41" t="s">
        <v>42</v>
      </c>
    </row>
    <row r="50" spans="2:5" s="14" customFormat="1" ht="15.75" customHeight="1">
      <c r="B50" s="30" t="s">
        <v>43</v>
      </c>
      <c r="C50" s="34">
        <f>SUM(C47:C49)</f>
        <v>111.68537496257794</v>
      </c>
      <c r="D50" s="21"/>
      <c r="E50" s="21"/>
    </row>
    <row r="51" spans="2:5" s="14" customFormat="1" ht="15.75" customHeight="1">
      <c r="B51" s="43" t="s">
        <v>44</v>
      </c>
      <c r="C51" s="44">
        <f>SUM(C38,C45,C50,C41)</f>
        <v>1268.0137803136722</v>
      </c>
      <c r="E51" s="21"/>
    </row>
    <row r="52" spans="2:3" s="14" customFormat="1" ht="15.75" customHeight="1">
      <c r="B52" s="45"/>
      <c r="C52" s="46"/>
    </row>
    <row r="53" spans="2:5" s="14" customFormat="1" ht="15.75" customHeight="1">
      <c r="B53" s="24" t="s">
        <v>45</v>
      </c>
      <c r="C53" s="23">
        <f>SUM(C31,C38,C45+C41)/((100-(3.65+$C$18))/100)</f>
        <v>3059.873286645971</v>
      </c>
      <c r="E53" s="21"/>
    </row>
    <row r="54" spans="2:5" s="14" customFormat="1" ht="15.75" customHeight="1">
      <c r="B54" s="24" t="s">
        <v>80</v>
      </c>
      <c r="C54" s="23">
        <f>(C8*150)</f>
        <v>1200</v>
      </c>
      <c r="E54" s="21"/>
    </row>
    <row r="55" spans="2:3" s="14" customFormat="1" ht="15.75" customHeight="1">
      <c r="B55" s="30" t="s">
        <v>65</v>
      </c>
      <c r="C55" s="47">
        <f>(C53*C30)+C54</f>
        <v>25678.986293167767</v>
      </c>
    </row>
    <row r="56" spans="2:12" s="48" customFormat="1" ht="15.75" customHeight="1">
      <c r="B56" s="49" t="s">
        <v>48</v>
      </c>
      <c r="C56" s="50">
        <f>C53/(SUM(C26:C28))</f>
        <v>3.213410017271188</v>
      </c>
      <c r="D56" s="14"/>
      <c r="E56" s="14"/>
      <c r="F56" s="14"/>
      <c r="G56" s="14"/>
      <c r="H56" s="14"/>
      <c r="I56" s="14"/>
      <c r="J56" s="14"/>
      <c r="K56" s="14"/>
      <c r="L56" s="14"/>
    </row>
    <row r="57" spans="2:12" s="51" customFormat="1" ht="15.75" customHeight="1">
      <c r="B57" s="52"/>
      <c r="C57" s="52"/>
      <c r="D57" s="14"/>
      <c r="E57" s="14"/>
      <c r="F57" s="14"/>
      <c r="G57" s="14"/>
      <c r="H57" s="14"/>
      <c r="I57" s="14"/>
      <c r="J57" s="14"/>
      <c r="K57" s="14"/>
      <c r="L57" s="14"/>
    </row>
    <row r="58" spans="2:12" s="51" customFormat="1" ht="15.75" customHeight="1">
      <c r="B58" s="77" t="s">
        <v>49</v>
      </c>
      <c r="C58" s="77"/>
      <c r="E58" s="14"/>
      <c r="F58" s="48"/>
      <c r="G58" s="48"/>
      <c r="H58" s="48"/>
      <c r="I58" s="48"/>
      <c r="J58" s="48"/>
      <c r="K58" s="48"/>
      <c r="L58" s="48"/>
    </row>
    <row r="59" spans="2:5" s="51" customFormat="1" ht="15.75" customHeight="1">
      <c r="B59" s="53" t="s">
        <v>50</v>
      </c>
      <c r="C59" s="54"/>
      <c r="D59" s="55"/>
      <c r="E59" s="14"/>
    </row>
    <row r="60" spans="2:5" s="51" customFormat="1" ht="15.75" customHeight="1">
      <c r="B60" s="78" t="s">
        <v>51</v>
      </c>
      <c r="C60" s="78"/>
      <c r="D60" s="55"/>
      <c r="E60" s="14"/>
    </row>
    <row r="61" spans="2:5" s="51" customFormat="1" ht="15.75" customHeight="1">
      <c r="B61" s="78" t="s">
        <v>52</v>
      </c>
      <c r="C61" s="78"/>
      <c r="D61" s="55"/>
      <c r="E61" s="14"/>
    </row>
    <row r="62" spans="2:12" s="14" customFormat="1" ht="15.75" customHeight="1">
      <c r="B62" s="78" t="s">
        <v>53</v>
      </c>
      <c r="C62" s="78"/>
      <c r="D62" s="55"/>
      <c r="F62" s="51"/>
      <c r="G62" s="51"/>
      <c r="H62" s="51"/>
      <c r="I62" s="51"/>
      <c r="J62" s="51"/>
      <c r="K62" s="51"/>
      <c r="L62" s="51"/>
    </row>
    <row r="63" spans="2:12" s="14" customFormat="1" ht="15.75" customHeight="1">
      <c r="B63" s="79" t="s">
        <v>54</v>
      </c>
      <c r="C63" s="79"/>
      <c r="D63" s="55"/>
      <c r="F63" s="51"/>
      <c r="G63" s="51"/>
      <c r="H63" s="51"/>
      <c r="I63" s="51"/>
      <c r="J63" s="51"/>
      <c r="K63" s="51"/>
      <c r="L63" s="51"/>
    </row>
    <row r="64" spans="2:4" s="14" customFormat="1" ht="15.75" customHeight="1">
      <c r="B64" s="53" t="s">
        <v>55</v>
      </c>
      <c r="C64" s="54"/>
      <c r="D64" s="56"/>
    </row>
    <row r="65" spans="2:12" s="51" customFormat="1" ht="15.75" customHeight="1">
      <c r="B65" s="53" t="s">
        <v>56</v>
      </c>
      <c r="C65" s="54"/>
      <c r="D65" s="56"/>
      <c r="E65" s="14"/>
      <c r="F65" s="14"/>
      <c r="G65" s="14"/>
      <c r="H65" s="14"/>
      <c r="I65" s="14"/>
      <c r="J65" s="14"/>
      <c r="K65" s="14"/>
      <c r="L65" s="14"/>
    </row>
    <row r="66" spans="2:4" s="14" customFormat="1" ht="15.75" customHeight="1">
      <c r="B66" s="57" t="s">
        <v>57</v>
      </c>
      <c r="C66" s="58"/>
      <c r="D66" s="56"/>
    </row>
    <row r="67" spans="2:4" s="14" customFormat="1" ht="15.75" customHeight="1">
      <c r="B67" s="57" t="s">
        <v>81</v>
      </c>
      <c r="C67" s="58"/>
      <c r="D67" s="56"/>
    </row>
    <row r="68" spans="2:5" s="51" customFormat="1" ht="15.75" customHeight="1">
      <c r="B68" s="53" t="s">
        <v>82</v>
      </c>
      <c r="C68" s="54"/>
      <c r="D68" s="55"/>
      <c r="E68" s="14"/>
    </row>
    <row r="69" spans="2:12" s="14" customFormat="1" ht="15.75" customHeight="1">
      <c r="B69" s="78" t="s">
        <v>83</v>
      </c>
      <c r="C69" s="78"/>
      <c r="D69" s="55"/>
      <c r="F69" s="51"/>
      <c r="G69" s="51"/>
      <c r="H69" s="51"/>
      <c r="I69" s="51"/>
      <c r="J69" s="51"/>
      <c r="K69" s="51"/>
      <c r="L69" s="51"/>
    </row>
    <row r="70" spans="2:4" s="14" customFormat="1" ht="40.5" customHeight="1">
      <c r="B70" s="80" t="s">
        <v>84</v>
      </c>
      <c r="C70" s="80"/>
      <c r="D70" s="56"/>
    </row>
    <row r="71" spans="2:4" s="14" customFormat="1" ht="66" customHeight="1">
      <c r="B71" s="81" t="s">
        <v>85</v>
      </c>
      <c r="C71" s="81"/>
      <c r="D71" s="56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B63:C63"/>
    <mergeCell ref="B69:C69"/>
    <mergeCell ref="B70:C70"/>
    <mergeCell ref="B71:C71"/>
    <mergeCell ref="B23:B24"/>
    <mergeCell ref="C23:C24"/>
    <mergeCell ref="B58:C58"/>
    <mergeCell ref="B60:C60"/>
    <mergeCell ref="B61:C61"/>
    <mergeCell ref="B62:C62"/>
    <mergeCell ref="B2:C2"/>
    <mergeCell ref="B3:C3"/>
    <mergeCell ref="B4:C4"/>
    <mergeCell ref="B9:C9"/>
    <mergeCell ref="B15:C15"/>
    <mergeCell ref="B17:C17"/>
  </mergeCells>
  <printOptions/>
  <pageMargins left="0.7875" right="0.7875" top="1.025" bottom="0.7875" header="0.7875" footer="0.5118055555555555"/>
  <pageSetup horizontalDpi="300" verticalDpi="300" orientation="portrait" paperSize="9" scale="58"/>
  <headerFooter alignWithMargins="0">
    <oddHeader>&amp;LPlanilha de Composição de Custos - AUDIN/MPU&amp;C&amp;A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="95" zoomScaleNormal="95" zoomScalePageLayoutView="0" workbookViewId="0" topLeftCell="A1">
      <selection activeCell="B2" sqref="B2:C74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1" spans="2:3" ht="15.75" customHeight="1">
      <c r="B1" s="72" t="s">
        <v>0</v>
      </c>
      <c r="C1" s="72"/>
    </row>
    <row r="2" spans="2:3" ht="15.75" customHeight="1">
      <c r="B2" s="73" t="s">
        <v>1</v>
      </c>
      <c r="C2" s="73"/>
    </row>
    <row r="3" spans="2:3" ht="15.75" customHeight="1">
      <c r="B3" s="73" t="s">
        <v>2</v>
      </c>
      <c r="C3" s="73"/>
    </row>
    <row r="4" spans="2:3" ht="15.75" customHeight="1">
      <c r="B4" s="2" t="s">
        <v>86</v>
      </c>
      <c r="C4" s="3">
        <v>2432.01</v>
      </c>
    </row>
    <row r="5" spans="2:3" ht="15.75" customHeight="1">
      <c r="B5" s="2" t="s">
        <v>4</v>
      </c>
      <c r="C5" s="4">
        <v>0</v>
      </c>
    </row>
    <row r="6" spans="2:3" ht="15.75" customHeight="1">
      <c r="B6" s="2" t="s">
        <v>5</v>
      </c>
      <c r="C6" s="4">
        <v>0</v>
      </c>
    </row>
    <row r="7" spans="2:3" ht="15.75" customHeight="1">
      <c r="B7" s="2" t="s">
        <v>6</v>
      </c>
      <c r="C7" s="5">
        <v>1</v>
      </c>
    </row>
    <row r="8" spans="2:3" ht="15.75" customHeight="1">
      <c r="B8" s="74" t="s">
        <v>7</v>
      </c>
      <c r="C8" s="74"/>
    </row>
    <row r="9" spans="2:3" ht="15.75" customHeight="1">
      <c r="B9" s="6" t="s">
        <v>8</v>
      </c>
      <c r="C9" s="7">
        <v>146.98</v>
      </c>
    </row>
    <row r="10" spans="2:3" ht="15.75" customHeight="1">
      <c r="B10" s="8" t="s">
        <v>9</v>
      </c>
      <c r="C10" s="9">
        <v>8</v>
      </c>
    </row>
    <row r="11" spans="2:3" ht="15.75" customHeight="1">
      <c r="B11" s="2" t="s">
        <v>10</v>
      </c>
      <c r="C11" s="10">
        <v>24</v>
      </c>
    </row>
    <row r="12" spans="2:3" ht="15.75" customHeight="1">
      <c r="B12" s="2" t="s">
        <v>87</v>
      </c>
      <c r="C12" s="10">
        <v>4.5</v>
      </c>
    </row>
    <row r="13" spans="2:3" ht="15.75" customHeight="1">
      <c r="B13" s="2" t="s">
        <v>63</v>
      </c>
      <c r="C13" s="10">
        <v>2.5</v>
      </c>
    </row>
    <row r="14" spans="2:3" ht="15.75" customHeight="1">
      <c r="B14" s="74" t="s">
        <v>69</v>
      </c>
      <c r="C14" s="74"/>
    </row>
    <row r="15" spans="2:3" ht="15.75" customHeight="1">
      <c r="B15" s="2" t="s">
        <v>70</v>
      </c>
      <c r="C15" s="10">
        <v>203.63</v>
      </c>
    </row>
    <row r="16" spans="2:3" ht="15.75" customHeight="1">
      <c r="B16" s="2" t="s">
        <v>88</v>
      </c>
      <c r="C16" s="10">
        <v>78.05</v>
      </c>
    </row>
    <row r="17" spans="2:3" ht="15.75" customHeight="1">
      <c r="B17" s="75" t="s">
        <v>13</v>
      </c>
      <c r="C17" s="75"/>
    </row>
    <row r="18" spans="2:3" ht="15.75" customHeight="1">
      <c r="B18" s="6" t="s">
        <v>71</v>
      </c>
      <c r="C18" s="11">
        <v>5</v>
      </c>
    </row>
    <row r="19" spans="2:3" ht="9" customHeight="1">
      <c r="B19" s="12"/>
      <c r="C19" s="13"/>
    </row>
    <row r="20" s="14" customFormat="1" ht="13.5" customHeight="1">
      <c r="B20" s="63" t="s">
        <v>15</v>
      </c>
    </row>
    <row r="21" spans="2:3" s="14" customFormat="1" ht="12.75" customHeight="1">
      <c r="B21" s="63" t="s">
        <v>89</v>
      </c>
      <c r="C21" s="16" t="s">
        <v>17</v>
      </c>
    </row>
    <row r="22" spans="2:3" s="14" customFormat="1" ht="7.5" customHeight="1">
      <c r="B22" s="17"/>
      <c r="C22" s="18"/>
    </row>
    <row r="23" spans="2:3" s="14" customFormat="1" ht="15.75" customHeight="1">
      <c r="B23" s="76" t="s">
        <v>18</v>
      </c>
      <c r="C23" s="76" t="s">
        <v>19</v>
      </c>
    </row>
    <row r="24" spans="2:3" s="14" customFormat="1" ht="15.75" customHeight="1">
      <c r="B24" s="76"/>
      <c r="C24" s="76"/>
    </row>
    <row r="25" spans="2:3" s="14" customFormat="1" ht="15.75" customHeight="1">
      <c r="B25" s="19" t="s">
        <v>20</v>
      </c>
      <c r="C25" s="20"/>
    </row>
    <row r="26" spans="2:3" s="21" customFormat="1" ht="15.75" customHeight="1">
      <c r="B26" s="22" t="s">
        <v>21</v>
      </c>
      <c r="C26" s="23">
        <f>C4</f>
        <v>2432.01</v>
      </c>
    </row>
    <row r="27" spans="2:3" s="21" customFormat="1" ht="15.75" customHeight="1">
      <c r="B27" s="22" t="s">
        <v>22</v>
      </c>
      <c r="C27" s="23">
        <f>C4*C5%</f>
        <v>0</v>
      </c>
    </row>
    <row r="28" spans="2:3" s="21" customFormat="1" ht="15.75" customHeight="1">
      <c r="B28" s="24" t="s">
        <v>23</v>
      </c>
      <c r="C28" s="25">
        <f>+C4*C6%</f>
        <v>0</v>
      </c>
    </row>
    <row r="29" spans="2:3" s="14" customFormat="1" ht="15.75" customHeight="1">
      <c r="B29" s="26" t="s">
        <v>73</v>
      </c>
      <c r="C29" s="27">
        <f>SUM(C26:C28)*0.7211</f>
        <v>1753.7224110000004</v>
      </c>
    </row>
    <row r="30" spans="2:3" s="14" customFormat="1" ht="15.75" customHeight="1">
      <c r="B30" s="28" t="s">
        <v>25</v>
      </c>
      <c r="C30" s="29">
        <f>C7</f>
        <v>1</v>
      </c>
    </row>
    <row r="31" spans="2:3" s="14" customFormat="1" ht="15.75" customHeight="1">
      <c r="B31" s="30" t="s">
        <v>26</v>
      </c>
      <c r="C31" s="31">
        <f>SUM(C26:C29)</f>
        <v>4185.732411000001</v>
      </c>
    </row>
    <row r="32" spans="2:3" s="14" customFormat="1" ht="15.75" customHeight="1">
      <c r="B32" s="19" t="s">
        <v>27</v>
      </c>
      <c r="C32" s="27"/>
    </row>
    <row r="33" spans="2:3" s="14" customFormat="1" ht="15.75" customHeight="1">
      <c r="B33" s="24" t="s">
        <v>28</v>
      </c>
      <c r="C33" s="23">
        <f>C9</f>
        <v>146.98</v>
      </c>
    </row>
    <row r="34" spans="2:3" s="14" customFormat="1" ht="15.75" customHeight="1">
      <c r="B34" s="26" t="s">
        <v>29</v>
      </c>
      <c r="C34" s="27">
        <f>($C$10*22)-(C26*0.06)</f>
        <v>30.079399999999993</v>
      </c>
    </row>
    <row r="35" spans="2:3" s="14" customFormat="1" ht="15.75" customHeight="1">
      <c r="B35" s="26" t="s">
        <v>30</v>
      </c>
      <c r="C35" s="32">
        <f>$C$11*22</f>
        <v>528</v>
      </c>
    </row>
    <row r="36" spans="2:3" s="14" customFormat="1" ht="15.75" customHeight="1">
      <c r="B36" s="26" t="s">
        <v>31</v>
      </c>
      <c r="C36" s="27">
        <f>+C12</f>
        <v>4.5</v>
      </c>
    </row>
    <row r="37" spans="2:4" s="14" customFormat="1" ht="15.75" customHeight="1">
      <c r="B37" s="28" t="s">
        <v>32</v>
      </c>
      <c r="C37" s="27">
        <f>C13</f>
        <v>2.5</v>
      </c>
      <c r="D37" s="33"/>
    </row>
    <row r="38" spans="2:4" s="14" customFormat="1" ht="15.75" customHeight="1">
      <c r="B38" s="30" t="s">
        <v>33</v>
      </c>
      <c r="C38" s="34">
        <f>SUM(C33:C37)</f>
        <v>712.0594</v>
      </c>
      <c r="D38" s="33"/>
    </row>
    <row r="39" spans="2:4" s="14" customFormat="1" ht="15.75" customHeight="1">
      <c r="B39" s="60" t="s">
        <v>74</v>
      </c>
      <c r="C39" s="61"/>
      <c r="D39" s="33"/>
    </row>
    <row r="40" spans="2:4" s="14" customFormat="1" ht="15.75" customHeight="1">
      <c r="B40" s="62" t="s">
        <v>75</v>
      </c>
      <c r="C40" s="38">
        <f>C15</f>
        <v>203.63</v>
      </c>
      <c r="D40" s="33"/>
    </row>
    <row r="41" spans="2:4" s="14" customFormat="1" ht="15.75" customHeight="1">
      <c r="B41" s="62" t="s">
        <v>90</v>
      </c>
      <c r="C41" s="38">
        <f>C16</f>
        <v>78.05</v>
      </c>
      <c r="D41" s="33"/>
    </row>
    <row r="42" spans="2:4" s="14" customFormat="1" ht="15.75" customHeight="1">
      <c r="B42" s="30" t="s">
        <v>76</v>
      </c>
      <c r="C42" s="34">
        <f>SUM(C40:C41)</f>
        <v>281.68</v>
      </c>
      <c r="D42" s="33"/>
    </row>
    <row r="43" spans="1:12" s="37" customFormat="1" ht="15.75" customHeight="1">
      <c r="A43" s="14"/>
      <c r="B43" s="35" t="s">
        <v>34</v>
      </c>
      <c r="C43" s="36"/>
      <c r="D43" s="33"/>
      <c r="E43" s="14"/>
      <c r="F43" s="14"/>
      <c r="G43" s="14"/>
      <c r="H43" s="14"/>
      <c r="I43" s="14"/>
      <c r="J43" s="14"/>
      <c r="K43" s="14"/>
      <c r="L43" s="14"/>
    </row>
    <row r="44" spans="1:14" s="37" customFormat="1" ht="15.75" customHeight="1">
      <c r="A44" s="14"/>
      <c r="B44" s="26" t="s">
        <v>77</v>
      </c>
      <c r="C44" s="38">
        <f>(SUM($C$31+$C$38+C42))*0.0531</f>
        <v>275.02995316410005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s="14" customFormat="1" ht="15.75" customHeight="1">
      <c r="B45" s="28" t="s">
        <v>78</v>
      </c>
      <c r="C45" s="38">
        <f>(SUM($C$31+$C$38+$C44+C42))*0.072</f>
        <v>392.72412701981534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s="14" customFormat="1" ht="15.75" customHeight="1">
      <c r="B46" s="30" t="s">
        <v>37</v>
      </c>
      <c r="C46" s="34">
        <f>SUM(C44:C45)</f>
        <v>667.7540801839154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3" s="14" customFormat="1" ht="15.75" customHeight="1">
      <c r="B47" s="39" t="s">
        <v>79</v>
      </c>
      <c r="C47" s="40"/>
    </row>
    <row r="48" spans="2:3" s="14" customFormat="1" ht="15.75" customHeight="1">
      <c r="B48" s="24" t="s">
        <v>39</v>
      </c>
      <c r="C48" s="23">
        <f>C54*0.0065</f>
        <v>41.60587662035628</v>
      </c>
    </row>
    <row r="49" spans="2:4" s="14" customFormat="1" ht="15.75" customHeight="1">
      <c r="B49" s="26" t="s">
        <v>40</v>
      </c>
      <c r="C49" s="27">
        <f>C54*0.03</f>
        <v>192.0271228631828</v>
      </c>
      <c r="D49" s="41" t="s">
        <v>41</v>
      </c>
    </row>
    <row r="50" spans="2:4" s="14" customFormat="1" ht="15.75" customHeight="1">
      <c r="B50" s="42" t="str">
        <f>(D49&amp;C18&amp;D50)</f>
        <v>ISSQN - 5 %</v>
      </c>
      <c r="C50" s="27">
        <f>$C$18%*C54</f>
        <v>320.0452047719714</v>
      </c>
      <c r="D50" s="41" t="s">
        <v>42</v>
      </c>
    </row>
    <row r="51" spans="2:5" s="14" customFormat="1" ht="15.75" customHeight="1">
      <c r="B51" s="30" t="s">
        <v>43</v>
      </c>
      <c r="C51" s="34">
        <f>SUM(C48:C50)</f>
        <v>553.6782042555104</v>
      </c>
      <c r="D51" s="21"/>
      <c r="E51" s="21"/>
    </row>
    <row r="52" spans="2:5" s="14" customFormat="1" ht="15.75" customHeight="1">
      <c r="B52" s="43" t="s">
        <v>44</v>
      </c>
      <c r="C52" s="44">
        <f>SUM(C38,C46,C51,C42)</f>
        <v>2215.171684439426</v>
      </c>
      <c r="E52" s="21"/>
    </row>
    <row r="53" spans="2:3" s="14" customFormat="1" ht="15.75" customHeight="1">
      <c r="B53" s="45"/>
      <c r="C53" s="46"/>
    </row>
    <row r="54" spans="2:5" s="14" customFormat="1" ht="15.75" customHeight="1">
      <c r="B54" s="24" t="s">
        <v>45</v>
      </c>
      <c r="C54" s="23">
        <f>SUM(C31,C38,C46+C42)/((100-(3.65+$C$18))/100)</f>
        <v>6400.904095439427</v>
      </c>
      <c r="E54" s="21"/>
    </row>
    <row r="55" spans="2:5" s="14" customFormat="1" ht="15.75" customHeight="1">
      <c r="B55" s="24" t="s">
        <v>80</v>
      </c>
      <c r="C55" s="23">
        <f>(C7*150)</f>
        <v>150</v>
      </c>
      <c r="E55" s="21"/>
    </row>
    <row r="56" spans="2:3" s="14" customFormat="1" ht="15.75" customHeight="1">
      <c r="B56" s="30" t="s">
        <v>65</v>
      </c>
      <c r="C56" s="47">
        <f>(C54*C30)+C55</f>
        <v>6550.904095439427</v>
      </c>
    </row>
    <row r="57" spans="2:12" s="48" customFormat="1" ht="15.75" customHeight="1">
      <c r="B57" s="49" t="s">
        <v>48</v>
      </c>
      <c r="C57" s="50">
        <f>C54/(SUM(C26:C28))</f>
        <v>2.6319398750167253</v>
      </c>
      <c r="D57" s="14"/>
      <c r="E57" s="14"/>
      <c r="F57" s="14"/>
      <c r="G57" s="14"/>
      <c r="H57" s="14"/>
      <c r="I57" s="14"/>
      <c r="J57" s="14"/>
      <c r="K57" s="14"/>
      <c r="L57" s="14"/>
    </row>
    <row r="58" spans="2:12" s="51" customFormat="1" ht="9" customHeight="1">
      <c r="B58" s="52"/>
      <c r="C58" s="52"/>
      <c r="D58" s="14"/>
      <c r="E58" s="14"/>
      <c r="F58" s="14"/>
      <c r="G58" s="14"/>
      <c r="H58" s="14"/>
      <c r="I58" s="14"/>
      <c r="J58" s="14"/>
      <c r="K58" s="14"/>
      <c r="L58" s="14"/>
    </row>
    <row r="59" spans="2:12" s="51" customFormat="1" ht="15.75" customHeight="1">
      <c r="B59" s="77" t="s">
        <v>49</v>
      </c>
      <c r="C59" s="77"/>
      <c r="E59" s="14"/>
      <c r="F59" s="48"/>
      <c r="G59" s="48"/>
      <c r="H59" s="48"/>
      <c r="I59" s="48"/>
      <c r="J59" s="48"/>
      <c r="K59" s="48"/>
      <c r="L59" s="48"/>
    </row>
    <row r="60" spans="2:5" s="51" customFormat="1" ht="15.75" customHeight="1">
      <c r="B60" s="53" t="s">
        <v>50</v>
      </c>
      <c r="C60" s="54"/>
      <c r="D60" s="55"/>
      <c r="E60" s="14"/>
    </row>
    <row r="61" spans="2:5" s="51" customFormat="1" ht="15.75" customHeight="1">
      <c r="B61" s="78" t="s">
        <v>51</v>
      </c>
      <c r="C61" s="78"/>
      <c r="D61" s="55"/>
      <c r="E61" s="14"/>
    </row>
    <row r="62" spans="2:5" s="51" customFormat="1" ht="15.75" customHeight="1">
      <c r="B62" s="78" t="s">
        <v>52</v>
      </c>
      <c r="C62" s="78"/>
      <c r="D62" s="55"/>
      <c r="E62" s="14"/>
    </row>
    <row r="63" spans="2:12" s="14" customFormat="1" ht="15.75" customHeight="1">
      <c r="B63" s="78" t="s">
        <v>53</v>
      </c>
      <c r="C63" s="78"/>
      <c r="D63" s="55"/>
      <c r="F63" s="51"/>
      <c r="G63" s="51"/>
      <c r="H63" s="51"/>
      <c r="I63" s="51"/>
      <c r="J63" s="51"/>
      <c r="K63" s="51"/>
      <c r="L63" s="51"/>
    </row>
    <row r="64" spans="2:12" s="14" customFormat="1" ht="15.75" customHeight="1">
      <c r="B64" s="79" t="s">
        <v>54</v>
      </c>
      <c r="C64" s="79"/>
      <c r="D64" s="55"/>
      <c r="F64" s="51"/>
      <c r="G64" s="51"/>
      <c r="H64" s="51"/>
      <c r="I64" s="51"/>
      <c r="J64" s="51"/>
      <c r="K64" s="51"/>
      <c r="L64" s="51"/>
    </row>
    <row r="65" spans="2:4" s="14" customFormat="1" ht="15.75" customHeight="1">
      <c r="B65" s="53" t="s">
        <v>55</v>
      </c>
      <c r="C65" s="54"/>
      <c r="D65" s="56"/>
    </row>
    <row r="66" spans="2:12" s="51" customFormat="1" ht="15.75" customHeight="1">
      <c r="B66" s="53" t="s">
        <v>56</v>
      </c>
      <c r="C66" s="54"/>
      <c r="D66" s="56"/>
      <c r="E66" s="14"/>
      <c r="F66" s="14"/>
      <c r="G66" s="14"/>
      <c r="H66" s="14"/>
      <c r="I66" s="14"/>
      <c r="J66" s="14"/>
      <c r="K66" s="14"/>
      <c r="L66" s="14"/>
    </row>
    <row r="67" spans="2:4" s="14" customFormat="1" ht="15.75" customHeight="1">
      <c r="B67" s="57" t="s">
        <v>57</v>
      </c>
      <c r="C67" s="58"/>
      <c r="D67" s="56"/>
    </row>
    <row r="68" spans="2:5" s="51" customFormat="1" ht="15.75" customHeight="1">
      <c r="B68" s="57" t="s">
        <v>81</v>
      </c>
      <c r="C68" s="58"/>
      <c r="D68" s="55"/>
      <c r="E68" s="14"/>
    </row>
    <row r="69" spans="2:12" s="14" customFormat="1" ht="15.75" customHeight="1">
      <c r="B69" s="53" t="s">
        <v>82</v>
      </c>
      <c r="C69" s="54"/>
      <c r="D69" s="55"/>
      <c r="F69" s="51"/>
      <c r="G69" s="51"/>
      <c r="H69" s="51"/>
      <c r="I69" s="51"/>
      <c r="J69" s="51"/>
      <c r="K69" s="51"/>
      <c r="L69" s="51"/>
    </row>
    <row r="70" spans="2:4" s="14" customFormat="1" ht="15.75" customHeight="1">
      <c r="B70" s="78" t="s">
        <v>83</v>
      </c>
      <c r="C70" s="78"/>
      <c r="D70" s="56"/>
    </row>
    <row r="71" spans="2:4" s="14" customFormat="1" ht="15.75" customHeight="1">
      <c r="B71" s="80" t="s">
        <v>84</v>
      </c>
      <c r="C71" s="80"/>
      <c r="D71" s="56"/>
    </row>
    <row r="72" spans="2:12" ht="15.75" customHeight="1">
      <c r="B72" s="80"/>
      <c r="C72" s="80"/>
      <c r="D72" s="51"/>
      <c r="E72" s="14"/>
      <c r="F72" s="14"/>
      <c r="G72" s="14"/>
      <c r="H72" s="14"/>
      <c r="I72" s="14"/>
      <c r="J72" s="14"/>
      <c r="K72" s="14"/>
      <c r="L72" s="14"/>
    </row>
    <row r="73" spans="2:12" ht="15.75" customHeight="1">
      <c r="B73" s="80"/>
      <c r="C73" s="80"/>
      <c r="D73" s="14"/>
      <c r="E73" s="14"/>
      <c r="F73" s="14"/>
      <c r="G73" s="14"/>
      <c r="H73" s="14"/>
      <c r="I73" s="14"/>
      <c r="J73" s="14"/>
      <c r="K73" s="14"/>
      <c r="L73" s="14"/>
    </row>
    <row r="74" spans="2:3" ht="66" customHeight="1">
      <c r="B74" s="81" t="s">
        <v>85</v>
      </c>
      <c r="C74" s="81"/>
    </row>
    <row r="65536" ht="12.75" customHeight="1"/>
  </sheetData>
  <sheetProtection selectLockedCells="1" selectUnlockedCells="1"/>
  <mergeCells count="16">
    <mergeCell ref="B64:C64"/>
    <mergeCell ref="B70:C70"/>
    <mergeCell ref="B71:C73"/>
    <mergeCell ref="B74:C74"/>
    <mergeCell ref="B23:B24"/>
    <mergeCell ref="C23:C24"/>
    <mergeCell ref="B59:C59"/>
    <mergeCell ref="B61:C61"/>
    <mergeCell ref="B62:C62"/>
    <mergeCell ref="B63:C63"/>
    <mergeCell ref="B1:C1"/>
    <mergeCell ref="B2:C2"/>
    <mergeCell ref="B3:C3"/>
    <mergeCell ref="B8:C8"/>
    <mergeCell ref="B14:C14"/>
    <mergeCell ref="B17:C17"/>
  </mergeCells>
  <printOptions/>
  <pageMargins left="0.7875" right="0.7875" top="1.025" bottom="0.7875" header="0.7875" footer="0.5118055555555555"/>
  <pageSetup horizontalDpi="300" verticalDpi="300" orientation="portrait" paperSize="9" scale="58"/>
  <headerFooter alignWithMargins="0">
    <oddHeader>&amp;LPlanilha de Composição de Custos - AUDIN/MPU&amp;C&amp;A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1"/>
  <sheetViews>
    <sheetView zoomScale="95" zoomScaleNormal="95" zoomScalePageLayoutView="0" workbookViewId="0" topLeftCell="A1">
      <selection activeCell="B3" sqref="B3:C71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2" t="s">
        <v>0</v>
      </c>
      <c r="C2" s="72"/>
    </row>
    <row r="3" spans="2:3" ht="15.75" customHeight="1">
      <c r="B3" s="73" t="s">
        <v>1</v>
      </c>
      <c r="C3" s="73"/>
    </row>
    <row r="4" spans="2:3" ht="15.75" customHeight="1">
      <c r="B4" s="73" t="s">
        <v>2</v>
      </c>
      <c r="C4" s="73"/>
    </row>
    <row r="5" spans="2:3" ht="15.75" customHeight="1">
      <c r="B5" s="2" t="s">
        <v>91</v>
      </c>
      <c r="C5" s="3">
        <v>1405.85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2" t="s">
        <v>6</v>
      </c>
      <c r="C8" s="5">
        <v>8</v>
      </c>
    </row>
    <row r="9" spans="2:3" ht="15.75" customHeight="1">
      <c r="B9" s="74" t="s">
        <v>7</v>
      </c>
      <c r="C9" s="74"/>
    </row>
    <row r="10" spans="2:3" ht="15.75" customHeight="1">
      <c r="B10" s="6" t="s">
        <v>8</v>
      </c>
      <c r="C10" s="7">
        <v>69.32</v>
      </c>
    </row>
    <row r="11" spans="2:3" ht="15.75" customHeight="1">
      <c r="B11" s="8" t="s">
        <v>9</v>
      </c>
      <c r="C11" s="9">
        <v>8</v>
      </c>
    </row>
    <row r="12" spans="2:3" ht="15.75" customHeight="1">
      <c r="B12" s="2" t="s">
        <v>10</v>
      </c>
      <c r="C12" s="10">
        <v>24</v>
      </c>
    </row>
    <row r="13" spans="2:3" ht="15.75" customHeight="1">
      <c r="B13" s="2" t="s">
        <v>87</v>
      </c>
      <c r="C13" s="10">
        <v>4.5</v>
      </c>
    </row>
    <row r="14" spans="2:3" ht="15.75" customHeight="1">
      <c r="B14" s="2" t="s">
        <v>68</v>
      </c>
      <c r="C14" s="10">
        <v>2.5</v>
      </c>
    </row>
    <row r="15" spans="2:3" ht="15.75" customHeight="1">
      <c r="B15" s="75" t="s">
        <v>13</v>
      </c>
      <c r="C15" s="75"/>
    </row>
    <row r="16" spans="2:3" ht="15.75" customHeight="1">
      <c r="B16" s="6" t="s">
        <v>14</v>
      </c>
      <c r="C16" s="11">
        <v>5</v>
      </c>
    </row>
    <row r="17" spans="2:3" ht="15.75" customHeight="1">
      <c r="B17" s="12"/>
      <c r="C17" s="13"/>
    </row>
    <row r="18" s="14" customFormat="1" ht="15.75" customHeight="1">
      <c r="B18" s="15" t="s">
        <v>15</v>
      </c>
    </row>
    <row r="19" spans="2:3" s="14" customFormat="1" ht="15.75" customHeight="1">
      <c r="B19" s="15" t="s">
        <v>92</v>
      </c>
      <c r="C19" s="16" t="s">
        <v>17</v>
      </c>
    </row>
    <row r="20" spans="2:3" s="14" customFormat="1" ht="15.75" customHeight="1">
      <c r="B20" s="17"/>
      <c r="C20" s="18"/>
    </row>
    <row r="21" spans="2:3" s="14" customFormat="1" ht="15.75" customHeight="1">
      <c r="B21" s="76" t="s">
        <v>18</v>
      </c>
      <c r="C21" s="76" t="s">
        <v>19</v>
      </c>
    </row>
    <row r="22" spans="2:3" s="14" customFormat="1" ht="15.75" customHeight="1">
      <c r="B22" s="76"/>
      <c r="C22" s="76"/>
    </row>
    <row r="23" spans="2:3" s="14" customFormat="1" ht="15.75" customHeight="1">
      <c r="B23" s="19" t="s">
        <v>20</v>
      </c>
      <c r="C23" s="20"/>
    </row>
    <row r="24" spans="2:3" s="21" customFormat="1" ht="15.75" customHeight="1">
      <c r="B24" s="22" t="s">
        <v>21</v>
      </c>
      <c r="C24" s="23">
        <f>C5</f>
        <v>1405.85</v>
      </c>
    </row>
    <row r="25" spans="2:3" s="21" customFormat="1" ht="15.75" customHeight="1">
      <c r="B25" s="22" t="s">
        <v>22</v>
      </c>
      <c r="C25" s="23">
        <f>C5*C6%</f>
        <v>0</v>
      </c>
    </row>
    <row r="26" spans="2:3" s="21" customFormat="1" ht="15.75" customHeight="1">
      <c r="B26" s="24" t="s">
        <v>23</v>
      </c>
      <c r="C26" s="25">
        <f>+C5*C7%</f>
        <v>0</v>
      </c>
    </row>
    <row r="27" spans="2:3" s="14" customFormat="1" ht="15.75" customHeight="1">
      <c r="B27" s="26" t="s">
        <v>24</v>
      </c>
      <c r="C27" s="27">
        <f>SUM(C24:C26)*0.7211</f>
        <v>1013.7584350000001</v>
      </c>
    </row>
    <row r="28" spans="2:3" s="14" customFormat="1" ht="15.75" customHeight="1">
      <c r="B28" s="28" t="s">
        <v>25</v>
      </c>
      <c r="C28" s="29">
        <f>C8</f>
        <v>8</v>
      </c>
    </row>
    <row r="29" spans="2:3" s="14" customFormat="1" ht="15.75" customHeight="1">
      <c r="B29" s="30" t="s">
        <v>26</v>
      </c>
      <c r="C29" s="31">
        <f>SUM(C24:C27)</f>
        <v>2419.608435</v>
      </c>
    </row>
    <row r="30" spans="2:3" s="14" customFormat="1" ht="15.75" customHeight="1">
      <c r="B30" s="19" t="s">
        <v>27</v>
      </c>
      <c r="C30" s="27"/>
    </row>
    <row r="31" spans="2:3" s="14" customFormat="1" ht="15.75" customHeight="1">
      <c r="B31" s="24" t="s">
        <v>28</v>
      </c>
      <c r="C31" s="23">
        <f>C10</f>
        <v>69.32</v>
      </c>
    </row>
    <row r="32" spans="2:3" s="14" customFormat="1" ht="15.75" customHeight="1">
      <c r="B32" s="26" t="s">
        <v>29</v>
      </c>
      <c r="C32" s="27">
        <f>($C$11*22)-(C24*0.06)</f>
        <v>91.64900000000002</v>
      </c>
    </row>
    <row r="33" spans="2:3" s="14" customFormat="1" ht="15.75" customHeight="1">
      <c r="B33" s="26" t="s">
        <v>30</v>
      </c>
      <c r="C33" s="32">
        <f>$C$12*22</f>
        <v>528</v>
      </c>
    </row>
    <row r="34" spans="2:3" s="14" customFormat="1" ht="15.75" customHeight="1">
      <c r="B34" s="26" t="s">
        <v>31</v>
      </c>
      <c r="C34" s="27">
        <f>+C13</f>
        <v>4.5</v>
      </c>
    </row>
    <row r="35" spans="2:4" s="14" customFormat="1" ht="15.75" customHeight="1">
      <c r="B35" s="28" t="s">
        <v>32</v>
      </c>
      <c r="C35" s="27">
        <f>C14</f>
        <v>2.5</v>
      </c>
      <c r="D35" s="33"/>
    </row>
    <row r="36" spans="2:4" s="14" customFormat="1" ht="15.75" customHeight="1">
      <c r="B36" s="30" t="s">
        <v>33</v>
      </c>
      <c r="C36" s="34">
        <f>SUM(C31:C35)</f>
        <v>695.969</v>
      </c>
      <c r="D36" s="33"/>
    </row>
    <row r="37" spans="1:12" s="37" customFormat="1" ht="15.75" customHeight="1">
      <c r="A37" s="14"/>
      <c r="B37" s="35" t="s">
        <v>34</v>
      </c>
      <c r="C37" s="36"/>
      <c r="D37" s="33"/>
      <c r="E37" s="14"/>
      <c r="F37" s="14"/>
      <c r="G37" s="14"/>
      <c r="H37" s="14"/>
      <c r="I37" s="14"/>
      <c r="J37" s="14"/>
      <c r="K37" s="14"/>
      <c r="L37" s="14"/>
    </row>
    <row r="38" spans="1:14" s="37" customFormat="1" ht="15.75" customHeight="1">
      <c r="A38" s="14"/>
      <c r="B38" s="26" t="s">
        <v>35</v>
      </c>
      <c r="C38" s="38">
        <f>(SUM($C$29+$C$36))*0.0531</f>
        <v>165.4371617985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s="14" customFormat="1" ht="15.75" customHeight="1">
      <c r="B39" s="28" t="s">
        <v>36</v>
      </c>
      <c r="C39" s="38">
        <f>(SUM($C$29+$C$36+$C38))*0.072</f>
        <v>236.233050969492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14" customFormat="1" ht="15.75" customHeight="1">
      <c r="B40" s="30" t="s">
        <v>37</v>
      </c>
      <c r="C40" s="34">
        <f>SUM(C38:C39)</f>
        <v>401.670212767992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3" s="14" customFormat="1" ht="15.75" customHeight="1">
      <c r="B41" s="39" t="s">
        <v>38</v>
      </c>
      <c r="C41" s="40"/>
    </row>
    <row r="42" spans="2:3" s="14" customFormat="1" ht="15.75" customHeight="1">
      <c r="B42" s="24" t="s">
        <v>39</v>
      </c>
      <c r="C42" s="23">
        <f>C48*0.0065</f>
        <v>25.02694002243235</v>
      </c>
    </row>
    <row r="43" spans="2:4" s="14" customFormat="1" ht="15.75" customHeight="1">
      <c r="B43" s="26" t="s">
        <v>40</v>
      </c>
      <c r="C43" s="27">
        <f>C48*0.03</f>
        <v>115.50895394968774</v>
      </c>
      <c r="D43" s="41" t="s">
        <v>41</v>
      </c>
    </row>
    <row r="44" spans="2:4" s="14" customFormat="1" ht="15.75" customHeight="1">
      <c r="B44" s="42" t="str">
        <f>(D43&amp;C16&amp;D44)</f>
        <v>ISSQN - 5 %</v>
      </c>
      <c r="C44" s="27">
        <f>$C$16%*C48</f>
        <v>192.51492324947958</v>
      </c>
      <c r="D44" s="41" t="s">
        <v>42</v>
      </c>
    </row>
    <row r="45" spans="2:5" s="14" customFormat="1" ht="15.75" customHeight="1">
      <c r="B45" s="30" t="s">
        <v>43</v>
      </c>
      <c r="C45" s="34">
        <f>SUM(C42:C44)</f>
        <v>333.0508172215997</v>
      </c>
      <c r="D45" s="21"/>
      <c r="E45" s="21"/>
    </row>
    <row r="46" spans="2:5" s="14" customFormat="1" ht="15.75" customHeight="1">
      <c r="B46" s="43" t="s">
        <v>44</v>
      </c>
      <c r="C46" s="44">
        <f>SUM(C36,C40,C45)</f>
        <v>1430.6900299895915</v>
      </c>
      <c r="E46" s="21"/>
    </row>
    <row r="47" spans="2:3" s="14" customFormat="1" ht="15.75" customHeight="1">
      <c r="B47" s="45"/>
      <c r="C47" s="46"/>
    </row>
    <row r="48" spans="2:5" s="14" customFormat="1" ht="15.75" customHeight="1">
      <c r="B48" s="24" t="s">
        <v>45</v>
      </c>
      <c r="C48" s="23">
        <f>SUM(C29,C36,C40)/((100-(3.65+$C$16))/100)</f>
        <v>3850.2984649895916</v>
      </c>
      <c r="E48" s="21"/>
    </row>
    <row r="49" spans="2:5" s="14" customFormat="1" ht="15.75" customHeight="1">
      <c r="B49" s="24" t="s">
        <v>46</v>
      </c>
      <c r="C49" s="23">
        <f>(C8*150)</f>
        <v>1200</v>
      </c>
      <c r="E49" s="21"/>
    </row>
    <row r="50" spans="2:3" s="14" customFormat="1" ht="15.75" customHeight="1">
      <c r="B50" s="30" t="s">
        <v>65</v>
      </c>
      <c r="C50" s="47">
        <f>(C48*C28)+C49</f>
        <v>32002.387719916733</v>
      </c>
    </row>
    <row r="51" spans="2:12" s="48" customFormat="1" ht="15.75" customHeight="1">
      <c r="B51" s="49" t="s">
        <v>48</v>
      </c>
      <c r="C51" s="50">
        <f>C48/(SUM(C24:C26))</f>
        <v>2.738769047188243</v>
      </c>
      <c r="D51" s="14"/>
      <c r="E51" s="14"/>
      <c r="F51" s="14"/>
      <c r="G51" s="14"/>
      <c r="H51" s="14"/>
      <c r="I51" s="14"/>
      <c r="J51" s="14"/>
      <c r="K51" s="14"/>
      <c r="L51" s="14"/>
    </row>
    <row r="52" spans="2:12" s="51" customFormat="1" ht="15.75" customHeight="1">
      <c r="B52" s="52"/>
      <c r="C52" s="52"/>
      <c r="D52" s="14"/>
      <c r="E52" s="14"/>
      <c r="F52" s="14"/>
      <c r="G52" s="14"/>
      <c r="H52" s="14"/>
      <c r="I52" s="14"/>
      <c r="J52" s="14"/>
      <c r="K52" s="14"/>
      <c r="L52" s="14"/>
    </row>
    <row r="53" spans="2:12" s="51" customFormat="1" ht="15.75" customHeight="1">
      <c r="B53" s="77" t="s">
        <v>49</v>
      </c>
      <c r="C53" s="77"/>
      <c r="E53" s="14"/>
      <c r="F53" s="48"/>
      <c r="G53" s="48"/>
      <c r="H53" s="48"/>
      <c r="I53" s="48"/>
      <c r="J53" s="48"/>
      <c r="K53" s="48"/>
      <c r="L53" s="48"/>
    </row>
    <row r="54" spans="2:5" s="51" customFormat="1" ht="15.75" customHeight="1">
      <c r="B54" s="53" t="s">
        <v>50</v>
      </c>
      <c r="C54" s="54"/>
      <c r="D54" s="55"/>
      <c r="E54" s="14"/>
    </row>
    <row r="55" spans="2:5" s="51" customFormat="1" ht="15.75" customHeight="1">
      <c r="B55" s="78" t="s">
        <v>51</v>
      </c>
      <c r="C55" s="78"/>
      <c r="D55" s="55"/>
      <c r="E55" s="14"/>
    </row>
    <row r="56" spans="2:5" s="51" customFormat="1" ht="15.75" customHeight="1">
      <c r="B56" s="78" t="s">
        <v>52</v>
      </c>
      <c r="C56" s="78"/>
      <c r="D56" s="55"/>
      <c r="E56" s="14"/>
    </row>
    <row r="57" spans="2:12" s="14" customFormat="1" ht="15.75" customHeight="1">
      <c r="B57" s="78" t="s">
        <v>53</v>
      </c>
      <c r="C57" s="78"/>
      <c r="D57" s="55"/>
      <c r="F57" s="51"/>
      <c r="G57" s="51"/>
      <c r="H57" s="51"/>
      <c r="I57" s="51"/>
      <c r="J57" s="51"/>
      <c r="K57" s="51"/>
      <c r="L57" s="51"/>
    </row>
    <row r="58" spans="2:12" s="14" customFormat="1" ht="15.75" customHeight="1">
      <c r="B58" s="79" t="s">
        <v>54</v>
      </c>
      <c r="C58" s="79"/>
      <c r="D58" s="55"/>
      <c r="F58" s="51"/>
      <c r="G58" s="51"/>
      <c r="H58" s="51"/>
      <c r="I58" s="51"/>
      <c r="J58" s="51"/>
      <c r="K58" s="51"/>
      <c r="L58" s="51"/>
    </row>
    <row r="59" spans="2:4" s="14" customFormat="1" ht="15.75" customHeight="1">
      <c r="B59" s="53" t="s">
        <v>55</v>
      </c>
      <c r="C59" s="54"/>
      <c r="D59" s="56"/>
    </row>
    <row r="60" spans="2:12" s="51" customFormat="1" ht="15.75" customHeight="1">
      <c r="B60" s="53" t="s">
        <v>56</v>
      </c>
      <c r="C60" s="54"/>
      <c r="D60" s="56"/>
      <c r="E60" s="14"/>
      <c r="F60" s="14"/>
      <c r="G60" s="14"/>
      <c r="H60" s="14"/>
      <c r="I60" s="14"/>
      <c r="J60" s="14"/>
      <c r="K60" s="14"/>
      <c r="L60" s="14"/>
    </row>
    <row r="61" spans="2:4" s="14" customFormat="1" ht="15.75" customHeight="1">
      <c r="B61" s="57" t="s">
        <v>57</v>
      </c>
      <c r="C61" s="58"/>
      <c r="D61" s="56"/>
    </row>
    <row r="62" spans="2:5" s="51" customFormat="1" ht="15.75" customHeight="1">
      <c r="B62" s="53" t="s">
        <v>58</v>
      </c>
      <c r="C62" s="54"/>
      <c r="D62" s="55"/>
      <c r="E62" s="14"/>
    </row>
    <row r="63" spans="2:12" s="14" customFormat="1" ht="15.75" customHeight="1">
      <c r="B63" s="78" t="s">
        <v>59</v>
      </c>
      <c r="C63" s="78"/>
      <c r="D63" s="55"/>
      <c r="F63" s="51"/>
      <c r="G63" s="51"/>
      <c r="H63" s="51"/>
      <c r="I63" s="51"/>
      <c r="J63" s="51"/>
      <c r="K63" s="51"/>
      <c r="L63" s="51"/>
    </row>
    <row r="64" spans="2:4" s="14" customFormat="1" ht="12.75" customHeight="1">
      <c r="B64" s="80" t="s">
        <v>60</v>
      </c>
      <c r="C64" s="80"/>
      <c r="D64" s="56"/>
    </row>
    <row r="65" spans="2:4" s="14" customFormat="1" ht="11.25">
      <c r="B65" s="80"/>
      <c r="C65" s="80"/>
      <c r="D65" s="56"/>
    </row>
    <row r="66" spans="2:12" ht="12.75">
      <c r="B66" s="80"/>
      <c r="C66" s="80"/>
      <c r="D66" s="51"/>
      <c r="E66" s="14"/>
      <c r="F66" s="14"/>
      <c r="G66" s="14"/>
      <c r="H66" s="14"/>
      <c r="I66" s="14"/>
      <c r="J66" s="14"/>
      <c r="K66" s="14"/>
      <c r="L66" s="14"/>
    </row>
    <row r="67" spans="2:3" ht="12.75" customHeight="1">
      <c r="B67" s="81" t="s">
        <v>61</v>
      </c>
      <c r="C67" s="81"/>
    </row>
    <row r="68" spans="2:3" ht="11.25">
      <c r="B68" s="81"/>
      <c r="C68" s="81"/>
    </row>
    <row r="69" spans="2:3" ht="11.25">
      <c r="B69" s="81"/>
      <c r="C69" s="81"/>
    </row>
    <row r="70" spans="2:3" ht="11.25">
      <c r="B70" s="81"/>
      <c r="C70" s="81"/>
    </row>
    <row r="71" spans="2:3" ht="11.25">
      <c r="B71" s="81"/>
      <c r="C71" s="81"/>
    </row>
  </sheetData>
  <sheetProtection selectLockedCells="1" selectUnlockedCells="1"/>
  <mergeCells count="15">
    <mergeCell ref="B64:C66"/>
    <mergeCell ref="B67:C71"/>
    <mergeCell ref="B53:C53"/>
    <mergeCell ref="B55:C55"/>
    <mergeCell ref="B56:C56"/>
    <mergeCell ref="B57:C57"/>
    <mergeCell ref="B58:C58"/>
    <mergeCell ref="B63:C63"/>
    <mergeCell ref="B2:C2"/>
    <mergeCell ref="B3:C3"/>
    <mergeCell ref="B4:C4"/>
    <mergeCell ref="B9:C9"/>
    <mergeCell ref="B15:C15"/>
    <mergeCell ref="B21:B22"/>
    <mergeCell ref="C21:C22"/>
  </mergeCells>
  <printOptions/>
  <pageMargins left="0.7875" right="0.7875" top="1.025" bottom="0.7875" header="0.7875" footer="0.5118055555555555"/>
  <pageSetup horizontalDpi="300" verticalDpi="300" orientation="portrait" paperSize="9" scale="58"/>
  <headerFooter alignWithMargins="0">
    <oddHeader>&amp;LPlanilha de Composição de Custos - AUDIN/MPU&amp;C&amp;A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5"/>
  <sheetViews>
    <sheetView zoomScale="95" zoomScaleNormal="95" zoomScalePageLayoutView="0" workbookViewId="0" topLeftCell="A1">
      <selection activeCell="B3" sqref="B3:C75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2" t="s">
        <v>0</v>
      </c>
      <c r="C2" s="72"/>
    </row>
    <row r="3" spans="2:3" ht="15.75" customHeight="1">
      <c r="B3" s="73" t="s">
        <v>1</v>
      </c>
      <c r="C3" s="73"/>
    </row>
    <row r="4" spans="2:3" ht="15.75" customHeight="1">
      <c r="B4" s="73" t="s">
        <v>2</v>
      </c>
      <c r="C4" s="73"/>
    </row>
    <row r="5" spans="2:3" ht="15.75" customHeight="1">
      <c r="B5" s="2" t="s">
        <v>93</v>
      </c>
      <c r="C5" s="3">
        <v>952.22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2" t="s">
        <v>6</v>
      </c>
      <c r="C8" s="5">
        <v>1</v>
      </c>
    </row>
    <row r="9" spans="2:3" ht="15.75" customHeight="1">
      <c r="B9" s="74" t="s">
        <v>7</v>
      </c>
      <c r="C9" s="74"/>
    </row>
    <row r="10" spans="2:3" ht="15.75" customHeight="1">
      <c r="B10" s="6" t="s">
        <v>8</v>
      </c>
      <c r="C10" s="7">
        <v>114.17</v>
      </c>
    </row>
    <row r="11" spans="2:3" ht="15.75" customHeight="1">
      <c r="B11" s="8" t="s">
        <v>9</v>
      </c>
      <c r="C11" s="9">
        <v>8</v>
      </c>
    </row>
    <row r="12" spans="2:3" ht="15.75" customHeight="1">
      <c r="B12" s="2" t="s">
        <v>10</v>
      </c>
      <c r="C12" s="10">
        <v>24</v>
      </c>
    </row>
    <row r="13" spans="2:3" ht="15.75" customHeight="1">
      <c r="B13" s="2" t="s">
        <v>87</v>
      </c>
      <c r="C13" s="10">
        <v>4.5</v>
      </c>
    </row>
    <row r="14" spans="2:3" ht="15.75" customHeight="1">
      <c r="B14" s="2" t="s">
        <v>68</v>
      </c>
      <c r="C14" s="10">
        <v>2.5</v>
      </c>
    </row>
    <row r="15" spans="2:3" ht="15.75" customHeight="1">
      <c r="B15" s="74" t="s">
        <v>69</v>
      </c>
      <c r="C15" s="74"/>
    </row>
    <row r="16" spans="2:3" ht="15.75" customHeight="1">
      <c r="B16" s="2" t="s">
        <v>70</v>
      </c>
      <c r="C16" s="10">
        <v>204.08</v>
      </c>
    </row>
    <row r="17" spans="2:3" ht="15.75" customHeight="1">
      <c r="B17" s="2" t="s">
        <v>94</v>
      </c>
      <c r="C17" s="10">
        <v>78.03</v>
      </c>
    </row>
    <row r="18" spans="2:3" ht="15.75" customHeight="1">
      <c r="B18" s="75" t="s">
        <v>13</v>
      </c>
      <c r="C18" s="75"/>
    </row>
    <row r="19" spans="2:3" ht="15.75" customHeight="1">
      <c r="B19" s="6" t="s">
        <v>71</v>
      </c>
      <c r="C19" s="11">
        <v>5</v>
      </c>
    </row>
    <row r="20" spans="2:3" ht="11.25" customHeight="1">
      <c r="B20" s="12"/>
      <c r="C20" s="13"/>
    </row>
    <row r="21" s="14" customFormat="1" ht="14.25" customHeight="1">
      <c r="B21" s="15" t="s">
        <v>15</v>
      </c>
    </row>
    <row r="22" spans="2:3" s="14" customFormat="1" ht="15.75" customHeight="1">
      <c r="B22" s="15" t="s">
        <v>95</v>
      </c>
      <c r="C22" s="16" t="s">
        <v>17</v>
      </c>
    </row>
    <row r="23" spans="2:3" s="14" customFormat="1" ht="7.5" customHeight="1">
      <c r="B23" s="17"/>
      <c r="C23" s="18"/>
    </row>
    <row r="24" spans="2:3" s="14" customFormat="1" ht="15.75" customHeight="1">
      <c r="B24" s="76" t="s">
        <v>18</v>
      </c>
      <c r="C24" s="76" t="s">
        <v>19</v>
      </c>
    </row>
    <row r="25" spans="2:3" s="14" customFormat="1" ht="15.75" customHeight="1">
      <c r="B25" s="76"/>
      <c r="C25" s="76"/>
    </row>
    <row r="26" spans="2:3" s="14" customFormat="1" ht="15.75" customHeight="1">
      <c r="B26" s="19" t="s">
        <v>20</v>
      </c>
      <c r="C26" s="20"/>
    </row>
    <row r="27" spans="2:3" s="21" customFormat="1" ht="15.75" customHeight="1">
      <c r="B27" s="22" t="s">
        <v>21</v>
      </c>
      <c r="C27" s="23">
        <f>C5</f>
        <v>952.22</v>
      </c>
    </row>
    <row r="28" spans="2:3" s="21" customFormat="1" ht="15.75" customHeight="1">
      <c r="B28" s="22" t="s">
        <v>22</v>
      </c>
      <c r="C28" s="23">
        <f>C5*C6%</f>
        <v>0</v>
      </c>
    </row>
    <row r="29" spans="2:3" s="21" customFormat="1" ht="15.75" customHeight="1">
      <c r="B29" s="24" t="s">
        <v>23</v>
      </c>
      <c r="C29" s="25">
        <f>+C5*C7%</f>
        <v>0</v>
      </c>
    </row>
    <row r="30" spans="2:3" s="14" customFormat="1" ht="15.75" customHeight="1">
      <c r="B30" s="26" t="s">
        <v>73</v>
      </c>
      <c r="C30" s="27">
        <f>SUM(C27:C29)*0.7211</f>
        <v>686.6458420000001</v>
      </c>
    </row>
    <row r="31" spans="2:3" s="14" customFormat="1" ht="15.75" customHeight="1">
      <c r="B31" s="28" t="s">
        <v>25</v>
      </c>
      <c r="C31" s="29">
        <f>C8</f>
        <v>1</v>
      </c>
    </row>
    <row r="32" spans="2:3" s="14" customFormat="1" ht="15.75" customHeight="1">
      <c r="B32" s="30" t="s">
        <v>26</v>
      </c>
      <c r="C32" s="31">
        <f>SUM(C27:C30)</f>
        <v>1638.8658420000002</v>
      </c>
    </row>
    <row r="33" spans="2:3" s="14" customFormat="1" ht="15.75" customHeight="1">
      <c r="B33" s="19" t="s">
        <v>27</v>
      </c>
      <c r="C33" s="27"/>
    </row>
    <row r="34" spans="2:3" s="14" customFormat="1" ht="15.75" customHeight="1">
      <c r="B34" s="24" t="s">
        <v>28</v>
      </c>
      <c r="C34" s="23">
        <f>C10</f>
        <v>114.17</v>
      </c>
    </row>
    <row r="35" spans="2:3" s="14" customFormat="1" ht="15.75" customHeight="1">
      <c r="B35" s="26" t="s">
        <v>29</v>
      </c>
      <c r="C35" s="27">
        <f>($C$11*22)-(C27*0.06)</f>
        <v>118.8668</v>
      </c>
    </row>
    <row r="36" spans="2:3" s="14" customFormat="1" ht="15.75" customHeight="1">
      <c r="B36" s="26" t="s">
        <v>30</v>
      </c>
      <c r="C36" s="32">
        <f>$C$12*22</f>
        <v>528</v>
      </c>
    </row>
    <row r="37" spans="2:3" s="14" customFormat="1" ht="15.75" customHeight="1">
      <c r="B37" s="26" t="s">
        <v>31</v>
      </c>
      <c r="C37" s="27">
        <f>+C13</f>
        <v>4.5</v>
      </c>
    </row>
    <row r="38" spans="2:4" s="14" customFormat="1" ht="15.75" customHeight="1">
      <c r="B38" s="28" t="s">
        <v>32</v>
      </c>
      <c r="C38" s="27">
        <f>C14</f>
        <v>2.5</v>
      </c>
      <c r="D38" s="33"/>
    </row>
    <row r="39" spans="2:4" s="14" customFormat="1" ht="15.75" customHeight="1">
      <c r="B39" s="30" t="s">
        <v>33</v>
      </c>
      <c r="C39" s="34">
        <f>SUM(C34:C38)</f>
        <v>768.0368</v>
      </c>
      <c r="D39" s="33"/>
    </row>
    <row r="40" spans="2:4" s="14" customFormat="1" ht="15.75" customHeight="1">
      <c r="B40" s="60" t="s">
        <v>74</v>
      </c>
      <c r="C40" s="61"/>
      <c r="D40" s="33"/>
    </row>
    <row r="41" spans="2:4" s="14" customFormat="1" ht="15.75" customHeight="1">
      <c r="B41" s="62" t="s">
        <v>75</v>
      </c>
      <c r="C41" s="38">
        <f>C16</f>
        <v>204.08</v>
      </c>
      <c r="D41" s="33"/>
    </row>
    <row r="42" spans="2:4" s="14" customFormat="1" ht="15.75" customHeight="1">
      <c r="B42" s="62" t="s">
        <v>96</v>
      </c>
      <c r="C42" s="38">
        <f>C17</f>
        <v>78.03</v>
      </c>
      <c r="D42" s="33"/>
    </row>
    <row r="43" spans="2:4" s="14" customFormat="1" ht="15.75" customHeight="1">
      <c r="B43" s="30" t="s">
        <v>76</v>
      </c>
      <c r="C43" s="34">
        <f>SUM(C41:C42)</f>
        <v>282.11</v>
      </c>
      <c r="D43" s="33"/>
    </row>
    <row r="44" spans="1:12" s="37" customFormat="1" ht="15.75" customHeight="1">
      <c r="A44" s="14"/>
      <c r="B44" s="35" t="s">
        <v>34</v>
      </c>
      <c r="C44" s="36"/>
      <c r="D44" s="33"/>
      <c r="E44" s="14"/>
      <c r="F44" s="14"/>
      <c r="G44" s="14"/>
      <c r="H44" s="14"/>
      <c r="I44" s="14"/>
      <c r="J44" s="14"/>
      <c r="K44" s="14"/>
      <c r="L44" s="14"/>
    </row>
    <row r="45" spans="1:14" s="37" customFormat="1" ht="15.75" customHeight="1">
      <c r="A45" s="14"/>
      <c r="B45" s="26" t="s">
        <v>77</v>
      </c>
      <c r="C45" s="38">
        <f>(SUM($C$32+$C$39+C43))*0.0531</f>
        <v>142.78657129020002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s="14" customFormat="1" ht="15.75" customHeight="1">
      <c r="B46" s="28" t="s">
        <v>78</v>
      </c>
      <c r="C46" s="38">
        <f>(SUM($C$32+$C$39+$C45+C43))*0.072</f>
        <v>203.88954335689442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s="14" customFormat="1" ht="15.75" customHeight="1">
      <c r="B47" s="30" t="s">
        <v>37</v>
      </c>
      <c r="C47" s="34">
        <f>SUM(C45:C46)</f>
        <v>346.67611464709444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3" s="14" customFormat="1" ht="15.75" customHeight="1">
      <c r="B48" s="39" t="s">
        <v>79</v>
      </c>
      <c r="C48" s="40"/>
    </row>
    <row r="49" spans="2:3" s="14" customFormat="1" ht="15.75" customHeight="1">
      <c r="B49" s="24" t="s">
        <v>39</v>
      </c>
      <c r="C49" s="23">
        <f>C55*0.0065</f>
        <v>21.600412608873693</v>
      </c>
    </row>
    <row r="50" spans="2:4" s="14" customFormat="1" ht="15.75" customHeight="1">
      <c r="B50" s="26" t="s">
        <v>40</v>
      </c>
      <c r="C50" s="27">
        <f>C55*0.03</f>
        <v>99.69421204095549</v>
      </c>
      <c r="D50" s="41" t="s">
        <v>41</v>
      </c>
    </row>
    <row r="51" spans="2:4" s="14" customFormat="1" ht="15.75" customHeight="1">
      <c r="B51" s="42" t="str">
        <f>(D50&amp;C19&amp;D51)</f>
        <v>ISSQN - 5 %</v>
      </c>
      <c r="C51" s="27">
        <f>$C$19%*C55</f>
        <v>166.15702006825916</v>
      </c>
      <c r="D51" s="41" t="s">
        <v>42</v>
      </c>
    </row>
    <row r="52" spans="2:5" s="14" customFormat="1" ht="15.75" customHeight="1">
      <c r="B52" s="30" t="s">
        <v>43</v>
      </c>
      <c r="C52" s="34">
        <f>SUM(C49:C51)</f>
        <v>287.45164471808835</v>
      </c>
      <c r="D52" s="21"/>
      <c r="E52" s="21"/>
    </row>
    <row r="53" spans="2:5" s="14" customFormat="1" ht="15.75" customHeight="1">
      <c r="B53" s="43" t="s">
        <v>44</v>
      </c>
      <c r="C53" s="44">
        <f>SUM(C39,C47,C52,C43)</f>
        <v>1684.2745593651825</v>
      </c>
      <c r="E53" s="21"/>
    </row>
    <row r="54" spans="2:3" s="14" customFormat="1" ht="15.75" customHeight="1">
      <c r="B54" s="45"/>
      <c r="C54" s="46"/>
    </row>
    <row r="55" spans="2:5" s="14" customFormat="1" ht="15.75" customHeight="1">
      <c r="B55" s="24" t="s">
        <v>45</v>
      </c>
      <c r="C55" s="23">
        <f>SUM(C32,C39,C47+C43)/((100-(3.65+$C$19))/100)</f>
        <v>3323.140401365183</v>
      </c>
      <c r="E55" s="21"/>
    </row>
    <row r="56" spans="2:5" s="14" customFormat="1" ht="15.75" customHeight="1">
      <c r="B56" s="24" t="s">
        <v>80</v>
      </c>
      <c r="C56" s="23">
        <f>C8*150</f>
        <v>150</v>
      </c>
      <c r="E56" s="21"/>
    </row>
    <row r="57" spans="2:3" s="14" customFormat="1" ht="15.75" customHeight="1">
      <c r="B57" s="30" t="s">
        <v>65</v>
      </c>
      <c r="C57" s="47">
        <f>(C55*C31)+C56</f>
        <v>3473.140401365183</v>
      </c>
    </row>
    <row r="58" spans="2:12" s="48" customFormat="1" ht="15.75" customHeight="1">
      <c r="B58" s="49" t="s">
        <v>48</v>
      </c>
      <c r="C58" s="50">
        <f>C55/(SUM(C27:C29))</f>
        <v>3.489887212372333</v>
      </c>
      <c r="D58" s="14"/>
      <c r="E58" s="14"/>
      <c r="F58" s="14"/>
      <c r="G58" s="14"/>
      <c r="H58" s="14"/>
      <c r="I58" s="14"/>
      <c r="J58" s="14"/>
      <c r="K58" s="14"/>
      <c r="L58" s="14"/>
    </row>
    <row r="59" spans="2:12" s="51" customFormat="1" ht="15.75" customHeight="1">
      <c r="B59" s="52"/>
      <c r="C59" s="52"/>
      <c r="D59" s="14"/>
      <c r="E59" s="14"/>
      <c r="F59" s="14"/>
      <c r="G59" s="14"/>
      <c r="H59" s="14"/>
      <c r="I59" s="14"/>
      <c r="J59" s="14"/>
      <c r="K59" s="14"/>
      <c r="L59" s="14"/>
    </row>
    <row r="60" spans="2:12" s="51" customFormat="1" ht="15.75" customHeight="1">
      <c r="B60" s="77" t="s">
        <v>49</v>
      </c>
      <c r="C60" s="77"/>
      <c r="E60" s="14"/>
      <c r="F60" s="48"/>
      <c r="G60" s="48"/>
      <c r="H60" s="48"/>
      <c r="I60" s="48"/>
      <c r="J60" s="48"/>
      <c r="K60" s="48"/>
      <c r="L60" s="48"/>
    </row>
    <row r="61" spans="2:5" s="51" customFormat="1" ht="15.75" customHeight="1">
      <c r="B61" s="53" t="s">
        <v>50</v>
      </c>
      <c r="C61" s="54"/>
      <c r="D61" s="55"/>
      <c r="E61" s="14"/>
    </row>
    <row r="62" spans="2:5" s="51" customFormat="1" ht="15.75" customHeight="1">
      <c r="B62" s="78" t="s">
        <v>51</v>
      </c>
      <c r="C62" s="78"/>
      <c r="D62" s="55"/>
      <c r="E62" s="14"/>
    </row>
    <row r="63" spans="2:5" s="51" customFormat="1" ht="15.75" customHeight="1">
      <c r="B63" s="78" t="s">
        <v>52</v>
      </c>
      <c r="C63" s="78"/>
      <c r="D63" s="55"/>
      <c r="E63" s="14"/>
    </row>
    <row r="64" spans="2:12" s="14" customFormat="1" ht="15.75" customHeight="1">
      <c r="B64" s="78" t="s">
        <v>53</v>
      </c>
      <c r="C64" s="78"/>
      <c r="D64" s="55"/>
      <c r="F64" s="51"/>
      <c r="G64" s="51"/>
      <c r="H64" s="51"/>
      <c r="I64" s="51"/>
      <c r="J64" s="51"/>
      <c r="K64" s="51"/>
      <c r="L64" s="51"/>
    </row>
    <row r="65" spans="2:12" s="14" customFormat="1" ht="15.75" customHeight="1">
      <c r="B65" s="79" t="s">
        <v>54</v>
      </c>
      <c r="C65" s="79"/>
      <c r="D65" s="55"/>
      <c r="F65" s="51"/>
      <c r="G65" s="51"/>
      <c r="H65" s="51"/>
      <c r="I65" s="51"/>
      <c r="J65" s="51"/>
      <c r="K65" s="51"/>
      <c r="L65" s="51"/>
    </row>
    <row r="66" spans="2:4" s="14" customFormat="1" ht="15.75" customHeight="1">
      <c r="B66" s="53" t="s">
        <v>55</v>
      </c>
      <c r="C66" s="54"/>
      <c r="D66" s="56"/>
    </row>
    <row r="67" spans="2:12" s="51" customFormat="1" ht="15.75" customHeight="1">
      <c r="B67" s="53" t="s">
        <v>56</v>
      </c>
      <c r="C67" s="54"/>
      <c r="D67" s="56"/>
      <c r="E67" s="14"/>
      <c r="F67" s="14"/>
      <c r="G67" s="14"/>
      <c r="H67" s="14"/>
      <c r="I67" s="14"/>
      <c r="J67" s="14"/>
      <c r="K67" s="14"/>
      <c r="L67" s="14"/>
    </row>
    <row r="68" spans="2:4" s="14" customFormat="1" ht="15.75" customHeight="1">
      <c r="B68" s="57" t="s">
        <v>57</v>
      </c>
      <c r="C68" s="58"/>
      <c r="D68" s="56"/>
    </row>
    <row r="69" spans="2:5" s="51" customFormat="1" ht="15.75" customHeight="1">
      <c r="B69" s="57" t="s">
        <v>81</v>
      </c>
      <c r="C69" s="58"/>
      <c r="D69" s="55"/>
      <c r="E69" s="14"/>
    </row>
    <row r="70" spans="2:12" s="14" customFormat="1" ht="15.75" customHeight="1">
      <c r="B70" s="53" t="s">
        <v>82</v>
      </c>
      <c r="C70" s="54"/>
      <c r="D70" s="55"/>
      <c r="F70" s="51"/>
      <c r="G70" s="51"/>
      <c r="H70" s="51"/>
      <c r="I70" s="51"/>
      <c r="J70" s="51"/>
      <c r="K70" s="51"/>
      <c r="L70" s="51"/>
    </row>
    <row r="71" spans="2:4" s="14" customFormat="1" ht="15.75" customHeight="1">
      <c r="B71" s="78" t="s">
        <v>83</v>
      </c>
      <c r="C71" s="78"/>
      <c r="D71" s="56"/>
    </row>
    <row r="72" spans="2:4" s="14" customFormat="1" ht="12.75" customHeight="1">
      <c r="B72" s="80" t="s">
        <v>84</v>
      </c>
      <c r="C72" s="80"/>
      <c r="D72" s="56"/>
    </row>
    <row r="73" spans="2:12" ht="12.75">
      <c r="B73" s="80"/>
      <c r="C73" s="80"/>
      <c r="D73" s="51"/>
      <c r="E73" s="14"/>
      <c r="F73" s="14"/>
      <c r="G73" s="14"/>
      <c r="H73" s="14"/>
      <c r="I73" s="14"/>
      <c r="J73" s="14"/>
      <c r="K73" s="14"/>
      <c r="L73" s="14"/>
    </row>
    <row r="74" spans="2:12" ht="11.25">
      <c r="B74" s="80"/>
      <c r="C74" s="80"/>
      <c r="D74" s="14"/>
      <c r="E74" s="14"/>
      <c r="F74" s="14"/>
      <c r="G74" s="14"/>
      <c r="H74" s="14"/>
      <c r="I74" s="14"/>
      <c r="J74" s="14"/>
      <c r="K74" s="14"/>
      <c r="L74" s="14"/>
    </row>
    <row r="75" spans="2:3" ht="66" customHeight="1">
      <c r="B75" s="81" t="s">
        <v>85</v>
      </c>
      <c r="C75" s="81"/>
    </row>
  </sheetData>
  <sheetProtection selectLockedCells="1" selectUnlockedCells="1"/>
  <mergeCells count="16">
    <mergeCell ref="B65:C65"/>
    <mergeCell ref="B71:C71"/>
    <mergeCell ref="B72:C74"/>
    <mergeCell ref="B75:C75"/>
    <mergeCell ref="B24:B25"/>
    <mergeCell ref="C24:C25"/>
    <mergeCell ref="B60:C60"/>
    <mergeCell ref="B62:C62"/>
    <mergeCell ref="B63:C63"/>
    <mergeCell ref="B64:C64"/>
    <mergeCell ref="B2:C2"/>
    <mergeCell ref="B3:C3"/>
    <mergeCell ref="B4:C4"/>
    <mergeCell ref="B9:C9"/>
    <mergeCell ref="B15:C15"/>
    <mergeCell ref="B18:C18"/>
  </mergeCells>
  <printOptions/>
  <pageMargins left="0.7875" right="0.7875" top="1.025" bottom="0.7875" header="0.7875" footer="0.5118055555555555"/>
  <pageSetup horizontalDpi="300" verticalDpi="300" orientation="portrait" paperSize="9" scale="58"/>
  <headerFooter alignWithMargins="0">
    <oddHeader>&amp;LPlanilha de Composição de Custos - AUDIN/MPU&amp;C&amp;A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71"/>
  <sheetViews>
    <sheetView zoomScale="95" zoomScaleNormal="95" zoomScalePageLayoutView="0" workbookViewId="0" topLeftCell="A1">
      <selection activeCell="B3" sqref="B3:C71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2" t="s">
        <v>0</v>
      </c>
      <c r="C2" s="72"/>
    </row>
    <row r="3" spans="2:3" ht="15.75" customHeight="1">
      <c r="B3" s="73" t="s">
        <v>1</v>
      </c>
      <c r="C3" s="73"/>
    </row>
    <row r="4" spans="2:3" ht="15.75" customHeight="1">
      <c r="B4" s="73" t="s">
        <v>2</v>
      </c>
      <c r="C4" s="73"/>
    </row>
    <row r="5" spans="2:3" ht="15.75" customHeight="1">
      <c r="B5" s="2" t="s">
        <v>97</v>
      </c>
      <c r="C5" s="3">
        <v>952.22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2" t="s">
        <v>6</v>
      </c>
      <c r="C8" s="5">
        <v>2</v>
      </c>
    </row>
    <row r="9" spans="2:3" ht="15.75" customHeight="1">
      <c r="B9" s="74" t="s">
        <v>7</v>
      </c>
      <c r="C9" s="74"/>
    </row>
    <row r="10" spans="2:3" ht="15.75" customHeight="1">
      <c r="B10" s="6" t="s">
        <v>8</v>
      </c>
      <c r="C10" s="7">
        <v>151</v>
      </c>
    </row>
    <row r="11" spans="2:3" ht="15.75" customHeight="1">
      <c r="B11" s="8" t="s">
        <v>9</v>
      </c>
      <c r="C11" s="9">
        <v>8</v>
      </c>
    </row>
    <row r="12" spans="2:3" ht="15.75" customHeight="1">
      <c r="B12" s="2" t="s">
        <v>10</v>
      </c>
      <c r="C12" s="10">
        <v>24</v>
      </c>
    </row>
    <row r="13" spans="2:3" ht="15.75" customHeight="1">
      <c r="B13" s="2" t="s">
        <v>11</v>
      </c>
      <c r="C13" s="10">
        <v>4.5</v>
      </c>
    </row>
    <row r="14" spans="2:3" ht="15.75" customHeight="1">
      <c r="B14" s="2" t="s">
        <v>63</v>
      </c>
      <c r="C14" s="10">
        <v>2.5</v>
      </c>
    </row>
    <row r="15" spans="2:3" ht="15.75" customHeight="1">
      <c r="B15" s="75" t="s">
        <v>13</v>
      </c>
      <c r="C15" s="75"/>
    </row>
    <row r="16" spans="2:3" ht="15.75" customHeight="1">
      <c r="B16" s="6" t="s">
        <v>14</v>
      </c>
      <c r="C16" s="11">
        <v>5</v>
      </c>
    </row>
    <row r="17" spans="2:3" ht="15.75" customHeight="1">
      <c r="B17" s="12"/>
      <c r="C17" s="13"/>
    </row>
    <row r="18" s="14" customFormat="1" ht="15.75" customHeight="1">
      <c r="B18" s="15" t="s">
        <v>15</v>
      </c>
    </row>
    <row r="19" spans="2:3" s="14" customFormat="1" ht="15.75" customHeight="1">
      <c r="B19" s="15" t="s">
        <v>98</v>
      </c>
      <c r="C19" s="16" t="s">
        <v>17</v>
      </c>
    </row>
    <row r="20" spans="2:3" s="14" customFormat="1" ht="15.75" customHeight="1">
      <c r="B20" s="17"/>
      <c r="C20" s="18"/>
    </row>
    <row r="21" spans="2:3" s="14" customFormat="1" ht="15.75" customHeight="1">
      <c r="B21" s="76" t="s">
        <v>18</v>
      </c>
      <c r="C21" s="76" t="s">
        <v>19</v>
      </c>
    </row>
    <row r="22" spans="2:3" s="14" customFormat="1" ht="15.75" customHeight="1">
      <c r="B22" s="76"/>
      <c r="C22" s="76"/>
    </row>
    <row r="23" spans="2:3" s="14" customFormat="1" ht="15.75" customHeight="1">
      <c r="B23" s="19" t="s">
        <v>20</v>
      </c>
      <c r="C23" s="20"/>
    </row>
    <row r="24" spans="2:3" s="21" customFormat="1" ht="15.75" customHeight="1">
      <c r="B24" s="22" t="s">
        <v>21</v>
      </c>
      <c r="C24" s="23">
        <f>C5</f>
        <v>952.22</v>
      </c>
    </row>
    <row r="25" spans="2:3" s="21" customFormat="1" ht="15.75" customHeight="1">
      <c r="B25" s="22" t="s">
        <v>22</v>
      </c>
      <c r="C25" s="23">
        <f>C5*C6%</f>
        <v>0</v>
      </c>
    </row>
    <row r="26" spans="2:3" s="21" customFormat="1" ht="15.75" customHeight="1">
      <c r="B26" s="24" t="s">
        <v>23</v>
      </c>
      <c r="C26" s="25">
        <f>+C5*C7%</f>
        <v>0</v>
      </c>
    </row>
    <row r="27" spans="2:3" s="14" customFormat="1" ht="15.75" customHeight="1">
      <c r="B27" s="26" t="s">
        <v>24</v>
      </c>
      <c r="C27" s="27">
        <f>SUM(C24:C26)*0.7211</f>
        <v>686.6458420000001</v>
      </c>
    </row>
    <row r="28" spans="2:3" s="14" customFormat="1" ht="15.75" customHeight="1">
      <c r="B28" s="28" t="s">
        <v>25</v>
      </c>
      <c r="C28" s="29">
        <f>C8</f>
        <v>2</v>
      </c>
    </row>
    <row r="29" spans="2:3" s="14" customFormat="1" ht="15.75" customHeight="1">
      <c r="B29" s="30" t="s">
        <v>26</v>
      </c>
      <c r="C29" s="31">
        <f>SUM(C24:C27)</f>
        <v>1638.8658420000002</v>
      </c>
    </row>
    <row r="30" spans="2:3" s="14" customFormat="1" ht="15.75" customHeight="1">
      <c r="B30" s="19" t="s">
        <v>27</v>
      </c>
      <c r="C30" s="27"/>
    </row>
    <row r="31" spans="2:3" s="14" customFormat="1" ht="15.75" customHeight="1">
      <c r="B31" s="24" t="s">
        <v>28</v>
      </c>
      <c r="C31" s="23">
        <f>C10</f>
        <v>151</v>
      </c>
    </row>
    <row r="32" spans="2:3" s="14" customFormat="1" ht="15.75" customHeight="1">
      <c r="B32" s="26" t="s">
        <v>29</v>
      </c>
      <c r="C32" s="27">
        <f>($C$11*22)-(C24*0.06)</f>
        <v>118.8668</v>
      </c>
    </row>
    <row r="33" spans="2:3" s="14" customFormat="1" ht="15.75" customHeight="1">
      <c r="B33" s="26" t="s">
        <v>30</v>
      </c>
      <c r="C33" s="32">
        <f>$C$12*22</f>
        <v>528</v>
      </c>
    </row>
    <row r="34" spans="2:3" s="14" customFormat="1" ht="15.75" customHeight="1">
      <c r="B34" s="26" t="s">
        <v>31</v>
      </c>
      <c r="C34" s="27">
        <f>+C13</f>
        <v>4.5</v>
      </c>
    </row>
    <row r="35" spans="2:4" s="14" customFormat="1" ht="15.75" customHeight="1">
      <c r="B35" s="28" t="s">
        <v>32</v>
      </c>
      <c r="C35" s="27">
        <f>C14</f>
        <v>2.5</v>
      </c>
      <c r="D35" s="33"/>
    </row>
    <row r="36" spans="2:4" s="14" customFormat="1" ht="15.75" customHeight="1">
      <c r="B36" s="30" t="s">
        <v>33</v>
      </c>
      <c r="C36" s="34">
        <f>SUM(C31:C35)</f>
        <v>804.8668</v>
      </c>
      <c r="D36" s="33"/>
    </row>
    <row r="37" spans="1:12" s="37" customFormat="1" ht="15.75" customHeight="1">
      <c r="A37" s="14"/>
      <c r="B37" s="35" t="s">
        <v>34</v>
      </c>
      <c r="C37" s="36"/>
      <c r="D37" s="33"/>
      <c r="E37" s="14"/>
      <c r="F37" s="14"/>
      <c r="G37" s="14"/>
      <c r="H37" s="14"/>
      <c r="I37" s="14"/>
      <c r="J37" s="14"/>
      <c r="K37" s="14"/>
      <c r="L37" s="14"/>
    </row>
    <row r="38" spans="1:14" s="37" customFormat="1" ht="15.75" customHeight="1">
      <c r="A38" s="14"/>
      <c r="B38" s="26" t="s">
        <v>35</v>
      </c>
      <c r="C38" s="38">
        <f>(SUM($C$29+$C$36))*0.0531</f>
        <v>129.7622032902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s="14" customFormat="1" ht="15.75" customHeight="1">
      <c r="B39" s="28" t="s">
        <v>36</v>
      </c>
      <c r="C39" s="38">
        <f>(SUM($C$29+$C$36+$C38))*0.072</f>
        <v>185.2916288608944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14" customFormat="1" ht="15.75" customHeight="1">
      <c r="B40" s="30" t="s">
        <v>37</v>
      </c>
      <c r="C40" s="34">
        <f>SUM(C38:C39)</f>
        <v>315.0538321510944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3" s="14" customFormat="1" ht="15.75" customHeight="1">
      <c r="B41" s="39" t="s">
        <v>38</v>
      </c>
      <c r="C41" s="40"/>
    </row>
    <row r="42" spans="2:3" s="14" customFormat="1" ht="15.75" customHeight="1">
      <c r="B42" s="24" t="s">
        <v>39</v>
      </c>
      <c r="C42" s="23">
        <f>C48*0.0065</f>
        <v>19.630117221655297</v>
      </c>
    </row>
    <row r="43" spans="2:4" s="14" customFormat="1" ht="15.75" customHeight="1">
      <c r="B43" s="26" t="s">
        <v>40</v>
      </c>
      <c r="C43" s="27">
        <f>C48*0.03</f>
        <v>90.60054102302445</v>
      </c>
      <c r="D43" s="41" t="s">
        <v>41</v>
      </c>
    </row>
    <row r="44" spans="2:4" s="14" customFormat="1" ht="15.75" customHeight="1">
      <c r="B44" s="42" t="str">
        <f>(D43&amp;C16&amp;D44)</f>
        <v>ISSQN - 5 %</v>
      </c>
      <c r="C44" s="27">
        <f>$C$16%*C48</f>
        <v>151.00090170504075</v>
      </c>
      <c r="D44" s="41" t="s">
        <v>42</v>
      </c>
    </row>
    <row r="45" spans="2:5" s="14" customFormat="1" ht="15.75" customHeight="1">
      <c r="B45" s="30" t="s">
        <v>43</v>
      </c>
      <c r="C45" s="34">
        <f>SUM(C42:C44)</f>
        <v>261.23155994972046</v>
      </c>
      <c r="D45" s="21"/>
      <c r="E45" s="21"/>
    </row>
    <row r="46" spans="2:5" s="14" customFormat="1" ht="15.75" customHeight="1">
      <c r="B46" s="43" t="s">
        <v>44</v>
      </c>
      <c r="C46" s="44">
        <f>SUM(C36,C40,C45)</f>
        <v>1381.1521921008148</v>
      </c>
      <c r="E46" s="21"/>
    </row>
    <row r="47" spans="2:3" s="14" customFormat="1" ht="15.75" customHeight="1">
      <c r="B47" s="45"/>
      <c r="C47" s="46"/>
    </row>
    <row r="48" spans="2:5" s="14" customFormat="1" ht="15.75" customHeight="1">
      <c r="B48" s="24" t="s">
        <v>45</v>
      </c>
      <c r="C48" s="23">
        <f>SUM(C29,C36,C40)/((100-(3.65+$C$16))/100)</f>
        <v>3020.018034100815</v>
      </c>
      <c r="E48" s="21"/>
    </row>
    <row r="49" spans="2:5" s="14" customFormat="1" ht="15.75" customHeight="1">
      <c r="B49" s="24" t="s">
        <v>46</v>
      </c>
      <c r="C49" s="23">
        <f>C8*150</f>
        <v>300</v>
      </c>
      <c r="E49" s="21"/>
    </row>
    <row r="50" spans="2:3" s="14" customFormat="1" ht="15.75" customHeight="1">
      <c r="B50" s="30" t="s">
        <v>65</v>
      </c>
      <c r="C50" s="47">
        <f>(C48*C28)+C49</f>
        <v>6340.03606820163</v>
      </c>
    </row>
    <row r="51" spans="2:12" s="48" customFormat="1" ht="15.75" customHeight="1">
      <c r="B51" s="49" t="s">
        <v>48</v>
      </c>
      <c r="C51" s="50">
        <f>C48/(SUM(C24:C26))</f>
        <v>3.171554928588787</v>
      </c>
      <c r="D51" s="14"/>
      <c r="E51" s="14"/>
      <c r="F51" s="14"/>
      <c r="G51" s="14"/>
      <c r="H51" s="14"/>
      <c r="I51" s="14"/>
      <c r="J51" s="14"/>
      <c r="K51" s="14"/>
      <c r="L51" s="14"/>
    </row>
    <row r="52" spans="2:12" s="51" customFormat="1" ht="15.75" customHeight="1">
      <c r="B52" s="52"/>
      <c r="C52" s="52"/>
      <c r="D52" s="14"/>
      <c r="E52" s="14"/>
      <c r="F52" s="14"/>
      <c r="G52" s="14"/>
      <c r="H52" s="14"/>
      <c r="I52" s="14"/>
      <c r="J52" s="14"/>
      <c r="K52" s="14"/>
      <c r="L52" s="14"/>
    </row>
    <row r="53" spans="2:12" s="51" customFormat="1" ht="15.75" customHeight="1">
      <c r="B53" s="77" t="s">
        <v>49</v>
      </c>
      <c r="C53" s="77"/>
      <c r="E53" s="14"/>
      <c r="F53" s="48"/>
      <c r="G53" s="48"/>
      <c r="H53" s="48"/>
      <c r="I53" s="48"/>
      <c r="J53" s="48"/>
      <c r="K53" s="48"/>
      <c r="L53" s="48"/>
    </row>
    <row r="54" spans="2:5" s="51" customFormat="1" ht="15.75" customHeight="1">
      <c r="B54" s="53" t="s">
        <v>50</v>
      </c>
      <c r="C54" s="54"/>
      <c r="D54" s="55"/>
      <c r="E54" s="14"/>
    </row>
    <row r="55" spans="2:5" s="51" customFormat="1" ht="15.75" customHeight="1">
      <c r="B55" s="78" t="s">
        <v>51</v>
      </c>
      <c r="C55" s="78"/>
      <c r="D55" s="55"/>
      <c r="E55" s="14"/>
    </row>
    <row r="56" spans="2:5" s="51" customFormat="1" ht="15.75" customHeight="1">
      <c r="B56" s="78" t="s">
        <v>52</v>
      </c>
      <c r="C56" s="78"/>
      <c r="D56" s="55"/>
      <c r="E56" s="14"/>
    </row>
    <row r="57" spans="2:12" s="14" customFormat="1" ht="15.75" customHeight="1">
      <c r="B57" s="78" t="s">
        <v>53</v>
      </c>
      <c r="C57" s="78"/>
      <c r="D57" s="55"/>
      <c r="F57" s="51"/>
      <c r="G57" s="51"/>
      <c r="H57" s="51"/>
      <c r="I57" s="51"/>
      <c r="J57" s="51"/>
      <c r="K57" s="51"/>
      <c r="L57" s="51"/>
    </row>
    <row r="58" spans="2:12" s="14" customFormat="1" ht="15.75" customHeight="1">
      <c r="B58" s="79" t="s">
        <v>54</v>
      </c>
      <c r="C58" s="79"/>
      <c r="D58" s="55"/>
      <c r="F58" s="51"/>
      <c r="G58" s="51"/>
      <c r="H58" s="51"/>
      <c r="I58" s="51"/>
      <c r="J58" s="51"/>
      <c r="K58" s="51"/>
      <c r="L58" s="51"/>
    </row>
    <row r="59" spans="2:4" s="14" customFormat="1" ht="15.75" customHeight="1">
      <c r="B59" s="53" t="s">
        <v>55</v>
      </c>
      <c r="C59" s="54"/>
      <c r="D59" s="56"/>
    </row>
    <row r="60" spans="2:12" s="51" customFormat="1" ht="15.75" customHeight="1">
      <c r="B60" s="53" t="s">
        <v>56</v>
      </c>
      <c r="C60" s="54"/>
      <c r="D60" s="56"/>
      <c r="E60" s="14"/>
      <c r="F60" s="14"/>
      <c r="G60" s="14"/>
      <c r="H60" s="14"/>
      <c r="I60" s="14"/>
      <c r="J60" s="14"/>
      <c r="K60" s="14"/>
      <c r="L60" s="14"/>
    </row>
    <row r="61" spans="2:4" s="14" customFormat="1" ht="15.75" customHeight="1">
      <c r="B61" s="57" t="s">
        <v>57</v>
      </c>
      <c r="C61" s="58"/>
      <c r="D61" s="56"/>
    </row>
    <row r="62" spans="2:5" s="51" customFormat="1" ht="15.75" customHeight="1">
      <c r="B62" s="53" t="s">
        <v>58</v>
      </c>
      <c r="C62" s="54"/>
      <c r="D62" s="55"/>
      <c r="E62" s="14"/>
    </row>
    <row r="63" spans="2:12" s="14" customFormat="1" ht="15.75" customHeight="1">
      <c r="B63" s="78" t="s">
        <v>59</v>
      </c>
      <c r="C63" s="78"/>
      <c r="D63" s="55"/>
      <c r="F63" s="51"/>
      <c r="G63" s="51"/>
      <c r="H63" s="51"/>
      <c r="I63" s="51"/>
      <c r="J63" s="51"/>
      <c r="K63" s="51"/>
      <c r="L63" s="51"/>
    </row>
    <row r="64" spans="2:4" s="14" customFormat="1" ht="12.75" customHeight="1">
      <c r="B64" s="80" t="s">
        <v>60</v>
      </c>
      <c r="C64" s="80"/>
      <c r="D64" s="56"/>
    </row>
    <row r="65" spans="2:4" s="14" customFormat="1" ht="11.25">
      <c r="B65" s="80"/>
      <c r="C65" s="80"/>
      <c r="D65" s="56"/>
    </row>
    <row r="66" spans="2:12" ht="12.75">
      <c r="B66" s="80"/>
      <c r="C66" s="80"/>
      <c r="D66" s="51"/>
      <c r="E66" s="14"/>
      <c r="F66" s="14"/>
      <c r="G66" s="14"/>
      <c r="H66" s="14"/>
      <c r="I66" s="14"/>
      <c r="J66" s="14"/>
      <c r="K66" s="14"/>
      <c r="L66" s="14"/>
    </row>
    <row r="67" spans="2:3" ht="12.75" customHeight="1">
      <c r="B67" s="81" t="s">
        <v>61</v>
      </c>
      <c r="C67" s="81"/>
    </row>
    <row r="68" spans="2:3" ht="11.25">
      <c r="B68" s="81"/>
      <c r="C68" s="81"/>
    </row>
    <row r="69" spans="2:3" ht="11.25">
      <c r="B69" s="81"/>
      <c r="C69" s="81"/>
    </row>
    <row r="70" spans="2:3" ht="11.25">
      <c r="B70" s="81"/>
      <c r="C70" s="81"/>
    </row>
    <row r="71" spans="2:3" ht="11.25">
      <c r="B71" s="81"/>
      <c r="C71" s="81"/>
    </row>
  </sheetData>
  <sheetProtection selectLockedCells="1" selectUnlockedCells="1"/>
  <mergeCells count="15">
    <mergeCell ref="B64:C66"/>
    <mergeCell ref="B67:C71"/>
    <mergeCell ref="B53:C53"/>
    <mergeCell ref="B55:C55"/>
    <mergeCell ref="B56:C56"/>
    <mergeCell ref="B57:C57"/>
    <mergeCell ref="B58:C58"/>
    <mergeCell ref="B63:C63"/>
    <mergeCell ref="B2:C2"/>
    <mergeCell ref="B3:C3"/>
    <mergeCell ref="B4:C4"/>
    <mergeCell ref="B9:C9"/>
    <mergeCell ref="B15:C15"/>
    <mergeCell ref="B21:B22"/>
    <mergeCell ref="C21:C22"/>
  </mergeCells>
  <printOptions/>
  <pageMargins left="0.7875" right="0.7875" top="1.025" bottom="0.7875" header="0.7875" footer="0.5118055555555555"/>
  <pageSetup horizontalDpi="300" verticalDpi="300" orientation="portrait" paperSize="9" scale="58"/>
  <headerFooter alignWithMargins="0">
    <oddHeader>&amp;LPlanilha de Composição de Custos - AUDIN/MPU&amp;C&amp;A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N71"/>
  <sheetViews>
    <sheetView zoomScale="95" zoomScaleNormal="95" zoomScalePageLayoutView="0" workbookViewId="0" topLeftCell="A1">
      <selection activeCell="B3" sqref="B3:C71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72" t="s">
        <v>0</v>
      </c>
      <c r="C2" s="72"/>
    </row>
    <row r="3" spans="2:3" ht="15.75" customHeight="1">
      <c r="B3" s="73" t="s">
        <v>1</v>
      </c>
      <c r="C3" s="73"/>
    </row>
    <row r="4" spans="2:3" ht="15.75" customHeight="1">
      <c r="B4" s="73" t="s">
        <v>2</v>
      </c>
      <c r="C4" s="73"/>
    </row>
    <row r="5" spans="2:3" ht="15.75" customHeight="1">
      <c r="B5" s="2" t="s">
        <v>99</v>
      </c>
      <c r="C5" s="3">
        <v>1405.85</v>
      </c>
    </row>
    <row r="6" spans="2:3" ht="15.75" customHeight="1">
      <c r="B6" s="2" t="s">
        <v>4</v>
      </c>
      <c r="C6" s="4">
        <v>0</v>
      </c>
    </row>
    <row r="7" spans="2:3" ht="15.75" customHeight="1">
      <c r="B7" s="2" t="s">
        <v>5</v>
      </c>
      <c r="C7" s="4">
        <v>0</v>
      </c>
    </row>
    <row r="8" spans="2:3" ht="15.75" customHeight="1">
      <c r="B8" s="2" t="s">
        <v>6</v>
      </c>
      <c r="C8" s="5">
        <v>24</v>
      </c>
    </row>
    <row r="9" spans="2:3" ht="15.75" customHeight="1">
      <c r="B9" s="74" t="s">
        <v>7</v>
      </c>
      <c r="C9" s="74"/>
    </row>
    <row r="10" spans="2:3" ht="15.75" customHeight="1">
      <c r="B10" s="6" t="s">
        <v>8</v>
      </c>
      <c r="C10" s="7">
        <v>151</v>
      </c>
    </row>
    <row r="11" spans="2:3" ht="15.75" customHeight="1">
      <c r="B11" s="8" t="s">
        <v>9</v>
      </c>
      <c r="C11" s="9">
        <v>8</v>
      </c>
    </row>
    <row r="12" spans="2:3" ht="15.75" customHeight="1">
      <c r="B12" s="2" t="s">
        <v>10</v>
      </c>
      <c r="C12" s="10">
        <v>24</v>
      </c>
    </row>
    <row r="13" spans="2:3" ht="15.75" customHeight="1">
      <c r="B13" s="2" t="s">
        <v>11</v>
      </c>
      <c r="C13" s="10">
        <v>4.5</v>
      </c>
    </row>
    <row r="14" spans="2:3" ht="15.75" customHeight="1">
      <c r="B14" s="2" t="s">
        <v>68</v>
      </c>
      <c r="C14" s="10">
        <v>2.5</v>
      </c>
    </row>
    <row r="15" spans="2:3" ht="15.75" customHeight="1">
      <c r="B15" s="75" t="s">
        <v>13</v>
      </c>
      <c r="C15" s="75"/>
    </row>
    <row r="16" spans="2:3" ht="15.75" customHeight="1">
      <c r="B16" s="6" t="s">
        <v>14</v>
      </c>
      <c r="C16" s="11">
        <v>5</v>
      </c>
    </row>
    <row r="17" spans="2:3" ht="15.75" customHeight="1">
      <c r="B17" s="12"/>
      <c r="C17" s="13"/>
    </row>
    <row r="18" s="14" customFormat="1" ht="15.75" customHeight="1">
      <c r="B18" s="15" t="s">
        <v>15</v>
      </c>
    </row>
    <row r="19" spans="2:3" s="14" customFormat="1" ht="15.75" customHeight="1">
      <c r="B19" s="15" t="s">
        <v>100</v>
      </c>
      <c r="C19" s="16" t="s">
        <v>17</v>
      </c>
    </row>
    <row r="20" spans="2:3" s="14" customFormat="1" ht="15.75" customHeight="1">
      <c r="B20" s="17"/>
      <c r="C20" s="18"/>
    </row>
    <row r="21" spans="2:3" s="14" customFormat="1" ht="15.75" customHeight="1">
      <c r="B21" s="76" t="s">
        <v>18</v>
      </c>
      <c r="C21" s="76" t="s">
        <v>19</v>
      </c>
    </row>
    <row r="22" spans="2:3" s="14" customFormat="1" ht="15.75" customHeight="1">
      <c r="B22" s="76"/>
      <c r="C22" s="76"/>
    </row>
    <row r="23" spans="2:3" s="14" customFormat="1" ht="15.75" customHeight="1">
      <c r="B23" s="19" t="s">
        <v>20</v>
      </c>
      <c r="C23" s="20"/>
    </row>
    <row r="24" spans="2:3" s="21" customFormat="1" ht="15.75" customHeight="1">
      <c r="B24" s="22" t="s">
        <v>21</v>
      </c>
      <c r="C24" s="23">
        <f>C5</f>
        <v>1405.85</v>
      </c>
    </row>
    <row r="25" spans="2:3" s="21" customFormat="1" ht="15.75" customHeight="1">
      <c r="B25" s="22" t="s">
        <v>22</v>
      </c>
      <c r="C25" s="23">
        <f>C5*C6%</f>
        <v>0</v>
      </c>
    </row>
    <row r="26" spans="2:3" s="21" customFormat="1" ht="15.75" customHeight="1">
      <c r="B26" s="24" t="s">
        <v>23</v>
      </c>
      <c r="C26" s="25">
        <f>+C5*C7%</f>
        <v>0</v>
      </c>
    </row>
    <row r="27" spans="2:3" s="14" customFormat="1" ht="15.75" customHeight="1">
      <c r="B27" s="26" t="s">
        <v>24</v>
      </c>
      <c r="C27" s="27">
        <f>SUM(C24:C26)*0.7211</f>
        <v>1013.7584350000001</v>
      </c>
    </row>
    <row r="28" spans="2:3" s="14" customFormat="1" ht="15.75" customHeight="1">
      <c r="B28" s="28" t="s">
        <v>25</v>
      </c>
      <c r="C28" s="29">
        <f>C8</f>
        <v>24</v>
      </c>
    </row>
    <row r="29" spans="2:3" s="14" customFormat="1" ht="15.75" customHeight="1">
      <c r="B29" s="30" t="s">
        <v>26</v>
      </c>
      <c r="C29" s="31">
        <f>SUM(C24:C27)</f>
        <v>2419.608435</v>
      </c>
    </row>
    <row r="30" spans="2:3" s="14" customFormat="1" ht="15.75" customHeight="1">
      <c r="B30" s="19" t="s">
        <v>27</v>
      </c>
      <c r="C30" s="27"/>
    </row>
    <row r="31" spans="2:3" s="14" customFormat="1" ht="15.75" customHeight="1">
      <c r="B31" s="24" t="s">
        <v>28</v>
      </c>
      <c r="C31" s="23">
        <f>C10</f>
        <v>151</v>
      </c>
    </row>
    <row r="32" spans="2:3" s="14" customFormat="1" ht="15.75" customHeight="1">
      <c r="B32" s="26" t="s">
        <v>29</v>
      </c>
      <c r="C32" s="27">
        <f>($C$11*22)-(C24*0.06)</f>
        <v>91.64900000000002</v>
      </c>
    </row>
    <row r="33" spans="2:3" s="14" customFormat="1" ht="15.75" customHeight="1">
      <c r="B33" s="26" t="s">
        <v>30</v>
      </c>
      <c r="C33" s="32">
        <f>$C$12*22</f>
        <v>528</v>
      </c>
    </row>
    <row r="34" spans="2:3" s="14" customFormat="1" ht="15.75" customHeight="1">
      <c r="B34" s="26" t="s">
        <v>31</v>
      </c>
      <c r="C34" s="27">
        <f>+C13</f>
        <v>4.5</v>
      </c>
    </row>
    <row r="35" spans="2:4" s="14" customFormat="1" ht="15.75" customHeight="1">
      <c r="B35" s="28" t="s">
        <v>32</v>
      </c>
      <c r="C35" s="27">
        <f>C14</f>
        <v>2.5</v>
      </c>
      <c r="D35" s="33"/>
    </row>
    <row r="36" spans="2:4" s="14" customFormat="1" ht="15.75" customHeight="1">
      <c r="B36" s="30" t="s">
        <v>33</v>
      </c>
      <c r="C36" s="34">
        <f>SUM(C31:C35)</f>
        <v>777.649</v>
      </c>
      <c r="D36" s="33"/>
    </row>
    <row r="37" spans="1:12" s="37" customFormat="1" ht="15.75" customHeight="1">
      <c r="A37" s="14"/>
      <c r="B37" s="35" t="s">
        <v>34</v>
      </c>
      <c r="C37" s="36"/>
      <c r="D37" s="33"/>
      <c r="E37" s="14"/>
      <c r="F37" s="14"/>
      <c r="G37" s="14"/>
      <c r="H37" s="14"/>
      <c r="I37" s="14"/>
      <c r="J37" s="14"/>
      <c r="K37" s="14"/>
      <c r="L37" s="14"/>
    </row>
    <row r="38" spans="1:14" s="37" customFormat="1" ht="15.75" customHeight="1">
      <c r="A38" s="14"/>
      <c r="B38" s="26" t="s">
        <v>35</v>
      </c>
      <c r="C38" s="38">
        <f>(SUM($C$29+$C$36))*0.0531</f>
        <v>169.7743697985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s="14" customFormat="1" ht="15.75" customHeight="1">
      <c r="B39" s="28" t="s">
        <v>36</v>
      </c>
      <c r="C39" s="38">
        <f>(SUM($C$29+$C$36+$C38))*0.072</f>
        <v>242.42628994549204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14" customFormat="1" ht="15.75" customHeight="1">
      <c r="B40" s="30" t="s">
        <v>37</v>
      </c>
      <c r="C40" s="34">
        <f>SUM(C38:C39)</f>
        <v>412.20065974399205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3" s="14" customFormat="1" ht="15.75" customHeight="1">
      <c r="B41" s="39" t="s">
        <v>38</v>
      </c>
      <c r="C41" s="40"/>
    </row>
    <row r="42" spans="2:3" s="14" customFormat="1" ht="15.75" customHeight="1">
      <c r="B42" s="24" t="s">
        <v>39</v>
      </c>
      <c r="C42" s="23">
        <f>C48*0.0065</f>
        <v>25.683062524177288</v>
      </c>
    </row>
    <row r="43" spans="2:4" s="14" customFormat="1" ht="15.75" customHeight="1">
      <c r="B43" s="26" t="s">
        <v>40</v>
      </c>
      <c r="C43" s="27">
        <f>C48*0.03</f>
        <v>118.537211650049</v>
      </c>
      <c r="D43" s="41" t="s">
        <v>41</v>
      </c>
    </row>
    <row r="44" spans="2:4" s="14" customFormat="1" ht="15.75" customHeight="1">
      <c r="B44" s="42" t="str">
        <f>(D43&amp;C16&amp;D44)</f>
        <v>ISSQN - 5 %</v>
      </c>
      <c r="C44" s="27">
        <f>$C$16%*C48</f>
        <v>197.56201941674837</v>
      </c>
      <c r="D44" s="41" t="s">
        <v>42</v>
      </c>
    </row>
    <row r="45" spans="2:5" s="14" customFormat="1" ht="15.75" customHeight="1">
      <c r="B45" s="30" t="s">
        <v>43</v>
      </c>
      <c r="C45" s="34">
        <f>SUM(C42:C44)</f>
        <v>341.78229359097463</v>
      </c>
      <c r="D45" s="21"/>
      <c r="E45" s="21"/>
    </row>
    <row r="46" spans="2:5" s="14" customFormat="1" ht="15.75" customHeight="1">
      <c r="B46" s="43" t="s">
        <v>44</v>
      </c>
      <c r="C46" s="44">
        <f>SUM(C36,C40,C45)</f>
        <v>1531.6319533349667</v>
      </c>
      <c r="E46" s="21"/>
    </row>
    <row r="47" spans="2:3" s="14" customFormat="1" ht="15.75" customHeight="1">
      <c r="B47" s="45"/>
      <c r="C47" s="46"/>
    </row>
    <row r="48" spans="2:5" s="14" customFormat="1" ht="15.75" customHeight="1">
      <c r="B48" s="24" t="s">
        <v>45</v>
      </c>
      <c r="C48" s="23">
        <f>SUM(C29,C36,C40)/((100-(3.65+$C$16))/100)</f>
        <v>3951.240388334967</v>
      </c>
      <c r="E48" s="21"/>
    </row>
    <row r="49" spans="2:5" s="14" customFormat="1" ht="15.75" customHeight="1">
      <c r="B49" s="24" t="s">
        <v>46</v>
      </c>
      <c r="C49" s="23">
        <f>C8*150</f>
        <v>3600</v>
      </c>
      <c r="E49" s="21"/>
    </row>
    <row r="50" spans="2:3" s="14" customFormat="1" ht="15.75" customHeight="1">
      <c r="B50" s="30" t="s">
        <v>65</v>
      </c>
      <c r="C50" s="47">
        <f>(C48*C28)+C49</f>
        <v>98429.76932003921</v>
      </c>
    </row>
    <row r="51" spans="2:12" s="48" customFormat="1" ht="15.75" customHeight="1">
      <c r="B51" s="49" t="s">
        <v>48</v>
      </c>
      <c r="C51" s="50">
        <f>C48/(SUM(C24:C26))</f>
        <v>2.8105703939502558</v>
      </c>
      <c r="D51" s="14"/>
      <c r="E51" s="14"/>
      <c r="F51" s="14"/>
      <c r="G51" s="14"/>
      <c r="H51" s="14"/>
      <c r="I51" s="14"/>
      <c r="J51" s="14"/>
      <c r="K51" s="14"/>
      <c r="L51" s="14"/>
    </row>
    <row r="52" spans="2:12" s="51" customFormat="1" ht="15.75" customHeight="1">
      <c r="B52" s="52"/>
      <c r="C52" s="52"/>
      <c r="D52" s="14"/>
      <c r="E52" s="14"/>
      <c r="F52" s="14"/>
      <c r="G52" s="14"/>
      <c r="H52" s="14"/>
      <c r="I52" s="14"/>
      <c r="J52" s="14"/>
      <c r="K52" s="14"/>
      <c r="L52" s="14"/>
    </row>
    <row r="53" spans="2:12" s="51" customFormat="1" ht="15.75" customHeight="1">
      <c r="B53" s="77" t="s">
        <v>49</v>
      </c>
      <c r="C53" s="77"/>
      <c r="E53" s="14"/>
      <c r="F53" s="48"/>
      <c r="G53" s="48"/>
      <c r="H53" s="48"/>
      <c r="I53" s="48"/>
      <c r="J53" s="48"/>
      <c r="K53" s="48"/>
      <c r="L53" s="48"/>
    </row>
    <row r="54" spans="2:5" s="51" customFormat="1" ht="15.75" customHeight="1">
      <c r="B54" s="53" t="s">
        <v>50</v>
      </c>
      <c r="C54" s="54"/>
      <c r="D54" s="55"/>
      <c r="E54" s="14"/>
    </row>
    <row r="55" spans="2:5" s="51" customFormat="1" ht="15.75" customHeight="1">
      <c r="B55" s="78" t="s">
        <v>51</v>
      </c>
      <c r="C55" s="78"/>
      <c r="D55" s="55"/>
      <c r="E55" s="14"/>
    </row>
    <row r="56" spans="2:5" s="51" customFormat="1" ht="15.75" customHeight="1">
      <c r="B56" s="78" t="s">
        <v>52</v>
      </c>
      <c r="C56" s="78"/>
      <c r="D56" s="55"/>
      <c r="E56" s="14"/>
    </row>
    <row r="57" spans="2:12" s="14" customFormat="1" ht="15.75" customHeight="1">
      <c r="B57" s="78" t="s">
        <v>53</v>
      </c>
      <c r="C57" s="78"/>
      <c r="D57" s="55"/>
      <c r="F57" s="51"/>
      <c r="G57" s="51"/>
      <c r="H57" s="51"/>
      <c r="I57" s="51"/>
      <c r="J57" s="51"/>
      <c r="K57" s="51"/>
      <c r="L57" s="51"/>
    </row>
    <row r="58" spans="2:12" s="14" customFormat="1" ht="15.75" customHeight="1">
      <c r="B58" s="79" t="s">
        <v>54</v>
      </c>
      <c r="C58" s="79"/>
      <c r="D58" s="55"/>
      <c r="F58" s="51"/>
      <c r="G58" s="51"/>
      <c r="H58" s="51"/>
      <c r="I58" s="51"/>
      <c r="J58" s="51"/>
      <c r="K58" s="51"/>
      <c r="L58" s="51"/>
    </row>
    <row r="59" spans="2:4" s="14" customFormat="1" ht="15.75" customHeight="1">
      <c r="B59" s="53" t="s">
        <v>55</v>
      </c>
      <c r="C59" s="54"/>
      <c r="D59" s="56"/>
    </row>
    <row r="60" spans="2:12" s="51" customFormat="1" ht="15.75" customHeight="1">
      <c r="B60" s="53" t="s">
        <v>56</v>
      </c>
      <c r="C60" s="54"/>
      <c r="D60" s="56"/>
      <c r="E60" s="14"/>
      <c r="F60" s="14"/>
      <c r="G60" s="14"/>
      <c r="H60" s="14"/>
      <c r="I60" s="14"/>
      <c r="J60" s="14"/>
      <c r="K60" s="14"/>
      <c r="L60" s="14"/>
    </row>
    <row r="61" spans="2:4" s="14" customFormat="1" ht="15.75" customHeight="1">
      <c r="B61" s="57" t="s">
        <v>57</v>
      </c>
      <c r="C61" s="58"/>
      <c r="D61" s="56"/>
    </row>
    <row r="62" spans="2:5" s="51" customFormat="1" ht="15.75" customHeight="1">
      <c r="B62" s="53" t="s">
        <v>58</v>
      </c>
      <c r="C62" s="54"/>
      <c r="D62" s="55"/>
      <c r="E62" s="14"/>
    </row>
    <row r="63" spans="2:12" s="14" customFormat="1" ht="15.75" customHeight="1">
      <c r="B63" s="78" t="s">
        <v>59</v>
      </c>
      <c r="C63" s="78"/>
      <c r="D63" s="55"/>
      <c r="F63" s="51"/>
      <c r="G63" s="51"/>
      <c r="H63" s="51"/>
      <c r="I63" s="51"/>
      <c r="J63" s="51"/>
      <c r="K63" s="51"/>
      <c r="L63" s="51"/>
    </row>
    <row r="64" spans="2:4" s="14" customFormat="1" ht="12.75" customHeight="1">
      <c r="B64" s="80" t="s">
        <v>60</v>
      </c>
      <c r="C64" s="80"/>
      <c r="D64" s="56"/>
    </row>
    <row r="65" spans="2:4" s="14" customFormat="1" ht="11.25">
      <c r="B65" s="80"/>
      <c r="C65" s="80"/>
      <c r="D65" s="56"/>
    </row>
    <row r="66" spans="2:12" ht="12.75">
      <c r="B66" s="80"/>
      <c r="C66" s="80"/>
      <c r="D66" s="51"/>
      <c r="E66" s="14"/>
      <c r="F66" s="14"/>
      <c r="G66" s="14"/>
      <c r="H66" s="14"/>
      <c r="I66" s="14"/>
      <c r="J66" s="14"/>
      <c r="K66" s="14"/>
      <c r="L66" s="14"/>
    </row>
    <row r="67" spans="2:3" ht="12.75" customHeight="1">
      <c r="B67" s="81" t="s">
        <v>61</v>
      </c>
      <c r="C67" s="81"/>
    </row>
    <row r="68" spans="2:3" ht="11.25">
      <c r="B68" s="81"/>
      <c r="C68" s="81"/>
    </row>
    <row r="69" spans="2:3" ht="11.25">
      <c r="B69" s="81"/>
      <c r="C69" s="81"/>
    </row>
    <row r="70" spans="2:3" ht="11.25">
      <c r="B70" s="81"/>
      <c r="C70" s="81"/>
    </row>
    <row r="71" spans="2:3" ht="11.25">
      <c r="B71" s="81"/>
      <c r="C71" s="81"/>
    </row>
  </sheetData>
  <sheetProtection selectLockedCells="1" selectUnlockedCells="1"/>
  <mergeCells count="15">
    <mergeCell ref="B64:C66"/>
    <mergeCell ref="B67:C71"/>
    <mergeCell ref="B53:C53"/>
    <mergeCell ref="B55:C55"/>
    <mergeCell ref="B56:C56"/>
    <mergeCell ref="B57:C57"/>
    <mergeCell ref="B58:C58"/>
    <mergeCell ref="B63:C63"/>
    <mergeCell ref="B2:C2"/>
    <mergeCell ref="B3:C3"/>
    <mergeCell ref="B4:C4"/>
    <mergeCell ref="B9:C9"/>
    <mergeCell ref="B15:C15"/>
    <mergeCell ref="B21:B22"/>
    <mergeCell ref="C21:C22"/>
  </mergeCells>
  <printOptions/>
  <pageMargins left="0.7875" right="0.7875" top="1.025" bottom="0.7875" header="0.7875" footer="0.5118055555555555"/>
  <pageSetup horizontalDpi="300" verticalDpi="300" orientation="portrait" paperSize="9" scale="58"/>
  <headerFooter alignWithMargins="0">
    <oddHeader>&amp;LPlanilha de Composição de Custos - AUDIN/MPU&amp;C&amp;A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7:G17"/>
  <sheetViews>
    <sheetView zoomScale="95" zoomScaleNormal="95" zoomScalePageLayoutView="0" workbookViewId="0" topLeftCell="B1">
      <selection activeCell="B7" sqref="B7:G17"/>
    </sheetView>
  </sheetViews>
  <sheetFormatPr defaultColWidth="11.57421875" defaultRowHeight="12.75"/>
  <cols>
    <col min="1" max="3" width="11.57421875" style="0" customWidth="1"/>
    <col min="4" max="4" width="41.421875" style="0" customWidth="1"/>
    <col min="5" max="5" width="17.421875" style="0" customWidth="1"/>
    <col min="6" max="6" width="20.8515625" style="0" customWidth="1"/>
    <col min="7" max="7" width="21.28125" style="0" customWidth="1"/>
  </cols>
  <sheetData>
    <row r="7" spans="2:7" ht="31.5">
      <c r="B7" s="64" t="s">
        <v>101</v>
      </c>
      <c r="C7" s="83" t="s">
        <v>102</v>
      </c>
      <c r="D7" s="83"/>
      <c r="E7" s="65" t="s">
        <v>103</v>
      </c>
      <c r="F7" s="65" t="s">
        <v>104</v>
      </c>
      <c r="G7" s="65" t="s">
        <v>105</v>
      </c>
    </row>
    <row r="8" spans="2:7" ht="15">
      <c r="B8" s="66">
        <v>1</v>
      </c>
      <c r="C8" s="84" t="s">
        <v>106</v>
      </c>
      <c r="D8" s="84"/>
      <c r="E8" s="67">
        <v>5</v>
      </c>
      <c r="F8" s="68">
        <f>Carregador!C48+150</f>
        <v>3076.0955784905245</v>
      </c>
      <c r="G8" s="68">
        <f aca="true" t="shared" si="0" ref="G8:G15">F8*E8</f>
        <v>15380.477892452622</v>
      </c>
    </row>
    <row r="9" spans="2:7" ht="15">
      <c r="B9" s="66">
        <v>2</v>
      </c>
      <c r="C9" s="84" t="s">
        <v>107</v>
      </c>
      <c r="D9" s="84"/>
      <c r="E9" s="67">
        <v>2</v>
      </c>
      <c r="F9" s="68">
        <f>Contínuo!C48+150</f>
        <v>3170.018034100815</v>
      </c>
      <c r="G9" s="68">
        <f t="shared" si="0"/>
        <v>6340.03606820163</v>
      </c>
    </row>
    <row r="10" spans="2:7" ht="15">
      <c r="B10" s="66">
        <v>3</v>
      </c>
      <c r="C10" s="84" t="s">
        <v>108</v>
      </c>
      <c r="D10" s="84"/>
      <c r="E10" s="67">
        <v>8</v>
      </c>
      <c r="F10" s="68">
        <f>Copeira!C53+150</f>
        <v>3209.873286645971</v>
      </c>
      <c r="G10" s="68">
        <f t="shared" si="0"/>
        <v>25678.986293167767</v>
      </c>
    </row>
    <row r="11" spans="2:7" ht="15">
      <c r="B11" s="66">
        <v>4</v>
      </c>
      <c r="C11" s="84" t="s">
        <v>109</v>
      </c>
      <c r="D11" s="84"/>
      <c r="E11" s="67">
        <v>1</v>
      </c>
      <c r="F11" s="68">
        <f>'Encarregado Geral'!C54+150</f>
        <v>6550.904095439427</v>
      </c>
      <c r="G11" s="68">
        <f t="shared" si="0"/>
        <v>6550.904095439427</v>
      </c>
    </row>
    <row r="12" spans="2:7" ht="15">
      <c r="B12" s="66">
        <v>5</v>
      </c>
      <c r="C12" s="84" t="s">
        <v>110</v>
      </c>
      <c r="D12" s="84"/>
      <c r="E12" s="67">
        <v>8</v>
      </c>
      <c r="F12" s="68">
        <f>Garçom!C48+150</f>
        <v>4000.2984649895916</v>
      </c>
      <c r="G12" s="68">
        <f t="shared" si="0"/>
        <v>32002.387719916733</v>
      </c>
    </row>
    <row r="13" spans="2:7" ht="15">
      <c r="B13" s="66">
        <v>6</v>
      </c>
      <c r="C13" s="84" t="s">
        <v>111</v>
      </c>
      <c r="D13" s="84"/>
      <c r="E13" s="67">
        <v>1</v>
      </c>
      <c r="F13" s="68">
        <f>'Lavador de automóvel'!C55+150</f>
        <v>3473.140401365183</v>
      </c>
      <c r="G13" s="68">
        <f t="shared" si="0"/>
        <v>3473.140401365183</v>
      </c>
    </row>
    <row r="14" spans="2:7" ht="15">
      <c r="B14" s="66">
        <v>7</v>
      </c>
      <c r="C14" s="84" t="s">
        <v>112</v>
      </c>
      <c r="D14" s="84"/>
      <c r="E14" s="67">
        <v>2</v>
      </c>
      <c r="F14" s="68">
        <f>'Operador de fotocopiadora'!C48+150</f>
        <v>3170.018034100815</v>
      </c>
      <c r="G14" s="68">
        <f t="shared" si="0"/>
        <v>6340.03606820163</v>
      </c>
    </row>
    <row r="15" spans="2:7" ht="15">
      <c r="B15" s="66">
        <v>8</v>
      </c>
      <c r="C15" s="84" t="s">
        <v>113</v>
      </c>
      <c r="D15" s="84"/>
      <c r="E15" s="67">
        <v>24</v>
      </c>
      <c r="F15" s="68">
        <f>Recepcionista!C48+150</f>
        <v>4101.240388334967</v>
      </c>
      <c r="G15" s="68">
        <f t="shared" si="0"/>
        <v>98429.76932003921</v>
      </c>
    </row>
    <row r="16" spans="2:7" ht="15.75">
      <c r="B16" s="85" t="s">
        <v>114</v>
      </c>
      <c r="C16" s="85"/>
      <c r="D16" s="85"/>
      <c r="E16" s="69">
        <f>SUM(E8:E15)</f>
        <v>51</v>
      </c>
      <c r="F16" s="70" t="s">
        <v>115</v>
      </c>
      <c r="G16" s="71">
        <f>SUM(G8:G15)</f>
        <v>194195.7378587842</v>
      </c>
    </row>
    <row r="17" spans="2:7" ht="15.75">
      <c r="B17" s="85" t="s">
        <v>116</v>
      </c>
      <c r="C17" s="85"/>
      <c r="D17" s="85"/>
      <c r="E17" s="69" t="s">
        <v>115</v>
      </c>
      <c r="F17" s="70" t="s">
        <v>115</v>
      </c>
      <c r="G17" s="71">
        <f>G16*12</f>
        <v>2330348.8543054108</v>
      </c>
    </row>
  </sheetData>
  <sheetProtection selectLockedCells="1" selectUnlockedCells="1"/>
  <mergeCells count="11">
    <mergeCell ref="C13:D13"/>
    <mergeCell ref="C14:D14"/>
    <mergeCell ref="C15:D15"/>
    <mergeCell ref="B16:D16"/>
    <mergeCell ref="B17:D17"/>
    <mergeCell ref="C7:D7"/>
    <mergeCell ref="C8:D8"/>
    <mergeCell ref="C9:D9"/>
    <mergeCell ref="C10:D10"/>
    <mergeCell ref="C11:D11"/>
    <mergeCell ref="C12:D12"/>
  </mergeCells>
  <printOptions/>
  <pageMargins left="0.7875" right="0.7875" top="1.025" bottom="0.7875" header="0.7875" footer="0.5118055555555555"/>
  <pageSetup horizontalDpi="300" verticalDpi="300" orientation="portrait" paperSize="9" scale="58"/>
  <headerFooter alignWithMargins="0">
    <oddHeader>&amp;LPlanilha de Composição de Custos - AUDIN/MPU&amp;C&amp;A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Jasmone Claudino Braga</cp:lastModifiedBy>
  <dcterms:modified xsi:type="dcterms:W3CDTF">2015-12-14T18:50:29Z</dcterms:modified>
  <cp:category/>
  <cp:version/>
  <cp:contentType/>
  <cp:contentStatus/>
</cp:coreProperties>
</file>