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ussg\Desktop\ESMPU\FINAL\"/>
    </mc:Choice>
  </mc:AlternateContent>
  <xr:revisionPtr revIDLastSave="0" documentId="13_ncr:1_{F775C7E1-FE4E-41A8-9CD3-5F9586C8F439}" xr6:coauthVersionLast="47" xr6:coauthVersionMax="47" xr10:uidLastSave="{00000000-0000-0000-0000-000000000000}"/>
  <bookViews>
    <workbookView xWindow="28680" yWindow="-120" windowWidth="29040" windowHeight="15840" tabRatio="753" activeTab="1" xr2:uid="{00000000-000D-0000-FFFF-FFFF00000000}"/>
  </bookViews>
  <sheets>
    <sheet name="INSTRUÇÕES" sheetId="9" r:id="rId1"/>
    <sheet name="SINTÉTICA" sheetId="1" r:id="rId2"/>
    <sheet name="ANALÍTICA" sheetId="2" r:id="rId3"/>
    <sheet name="ANALÍTICA AUXILIARES" sheetId="6" r:id="rId4"/>
    <sheet name="INSUMOS" sheetId="3" r:id="rId5"/>
    <sheet name="BDI" sheetId="7" r:id="rId6"/>
    <sheet name="CRONOGRAMA" sheetId="8" r:id="rId7"/>
    <sheet name="LEIS SOCIAIS" sheetId="11" r:id="rId8"/>
  </sheets>
  <definedNames>
    <definedName name="_xlnm._FilterDatabase" localSheetId="3" hidden="1">'ANALÍTICA AUXILIARES'!$A$15:$K$25</definedName>
    <definedName name="_xlnm.Print_Area" localSheetId="2">ANALÍTICA!$A$1:$J$276</definedName>
    <definedName name="_xlnm.Print_Area" localSheetId="3">'ANALÍTICA AUXILIARES'!$A$1:$J$676</definedName>
    <definedName name="_xlnm.Print_Area" localSheetId="5">BDI!$A$1:$D$23</definedName>
    <definedName name="_xlnm.Print_Area" localSheetId="6">CRONOGRAMA!$A$1:$J$19</definedName>
    <definedName name="_xlnm.Print_Area" localSheetId="0">INSTRUÇÕES!$A$1:$E$27</definedName>
    <definedName name="_xlnm.Print_Area" localSheetId="4">INSUMOS!$A$1:$I$114</definedName>
    <definedName name="_xlnm.Print_Area" localSheetId="1">SINTÉTICA!$A$1:$J$61</definedName>
    <definedName name="_xlnm.Print_Titles" localSheetId="2">ANALÍTICA!$12:$13</definedName>
    <definedName name="_xlnm.Print_Titles" localSheetId="3">'ANALÍTICA AUXILIARES'!$12:$13</definedName>
    <definedName name="_xlnm.Print_Titles" localSheetId="6">CRONOGRAMA!$A:$C</definedName>
    <definedName name="_xlnm.Print_Titles" localSheetId="4">INSUMOS!$9:$10</definedName>
    <definedName name="_xlnm.Print_Titles" localSheetId="1">SINTÉTICA!$12:$13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8" l="1"/>
  <c r="F12" i="8"/>
  <c r="H12" i="8"/>
  <c r="G10" i="8"/>
  <c r="F10" i="8"/>
  <c r="E12" i="8"/>
  <c r="D10" i="8"/>
  <c r="B13" i="8"/>
  <c r="B11" i="8"/>
  <c r="B9" i="8"/>
  <c r="E49" i="1" l="1"/>
  <c r="D49" i="1"/>
  <c r="C49" i="1"/>
  <c r="E47" i="1"/>
  <c r="D47" i="1"/>
  <c r="C47" i="1"/>
  <c r="E45" i="1"/>
  <c r="D45" i="1"/>
  <c r="C45" i="1"/>
  <c r="E44" i="1"/>
  <c r="D44" i="1"/>
  <c r="C44" i="1"/>
  <c r="E43" i="1"/>
  <c r="D43" i="1"/>
  <c r="C43" i="1"/>
  <c r="E41" i="1"/>
  <c r="D41" i="1"/>
  <c r="C41" i="1"/>
  <c r="E39" i="1"/>
  <c r="D39" i="1"/>
  <c r="C39" i="1"/>
  <c r="E37" i="1"/>
  <c r="D37" i="1"/>
  <c r="C37" i="1"/>
  <c r="E36" i="1"/>
  <c r="D36" i="1"/>
  <c r="C36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8" i="1"/>
  <c r="D28" i="1"/>
  <c r="C28" i="1"/>
  <c r="E27" i="1"/>
  <c r="D27" i="1"/>
  <c r="C27" i="1"/>
  <c r="E26" i="1"/>
  <c r="D26" i="1"/>
  <c r="C26" i="1"/>
  <c r="E24" i="1"/>
  <c r="D24" i="1"/>
  <c r="C24" i="1"/>
  <c r="E21" i="1"/>
  <c r="D21" i="1"/>
  <c r="C21" i="1"/>
  <c r="E19" i="1"/>
  <c r="D19" i="1"/>
  <c r="C19" i="1"/>
  <c r="E18" i="1"/>
  <c r="D18" i="1"/>
  <c r="C18" i="1"/>
  <c r="E16" i="1"/>
  <c r="D16" i="1"/>
  <c r="C16" i="1"/>
  <c r="H90" i="3"/>
  <c r="AB14" i="6" l="1"/>
  <c r="AC14" i="6" s="1"/>
  <c r="AB13" i="6"/>
  <c r="AC13" i="6" s="1"/>
  <c r="N17" i="6" l="1"/>
  <c r="P17" i="6"/>
  <c r="Q17" i="6" s="1"/>
  <c r="N18" i="6"/>
  <c r="P18" i="6"/>
  <c r="R18" i="6" s="1"/>
  <c r="P19" i="6"/>
  <c r="P20" i="6"/>
  <c r="R20" i="6" s="1"/>
  <c r="P21" i="6"/>
  <c r="Q21" i="6" s="1"/>
  <c r="P22" i="6"/>
  <c r="R22" i="6" s="1"/>
  <c r="M23" i="6"/>
  <c r="N23" i="6"/>
  <c r="P23" i="6"/>
  <c r="M24" i="6"/>
  <c r="N24" i="6"/>
  <c r="P24" i="6"/>
  <c r="R24" i="6" s="1"/>
  <c r="M25" i="6"/>
  <c r="N25" i="6"/>
  <c r="P25" i="6"/>
  <c r="Q25" i="6" s="1"/>
  <c r="M26" i="6"/>
  <c r="N26" i="6"/>
  <c r="P26" i="6"/>
  <c r="R26" i="6" s="1"/>
  <c r="M27" i="6"/>
  <c r="N27" i="6"/>
  <c r="P27" i="6"/>
  <c r="P28" i="6"/>
  <c r="N29" i="6"/>
  <c r="P29" i="6"/>
  <c r="Q29" i="6" s="1"/>
  <c r="M30" i="6"/>
  <c r="N30" i="6"/>
  <c r="P30" i="6"/>
  <c r="R30" i="6" s="1"/>
  <c r="M31" i="6"/>
  <c r="N31" i="6"/>
  <c r="P31" i="6"/>
  <c r="M32" i="6"/>
  <c r="N32" i="6"/>
  <c r="P32" i="6"/>
  <c r="R32" i="6" s="1"/>
  <c r="M33" i="6"/>
  <c r="N33" i="6"/>
  <c r="P33" i="6"/>
  <c r="P34" i="6"/>
  <c r="Q34" i="6" s="1"/>
  <c r="M35" i="6"/>
  <c r="N35" i="6"/>
  <c r="P35" i="6"/>
  <c r="M36" i="6"/>
  <c r="N36" i="6"/>
  <c r="P36" i="6"/>
  <c r="R36" i="6" s="1"/>
  <c r="M37" i="6"/>
  <c r="N37" i="6"/>
  <c r="P37" i="6"/>
  <c r="Q37" i="6" s="1"/>
  <c r="M38" i="6"/>
  <c r="N38" i="6"/>
  <c r="P38" i="6"/>
  <c r="R38" i="6" s="1"/>
  <c r="M39" i="6"/>
  <c r="N39" i="6"/>
  <c r="P39" i="6"/>
  <c r="N40" i="6"/>
  <c r="P40" i="6"/>
  <c r="R40" i="6" s="1"/>
  <c r="P41" i="6"/>
  <c r="P42" i="6"/>
  <c r="R42" i="6" s="1"/>
  <c r="N43" i="6"/>
  <c r="P43" i="6"/>
  <c r="M44" i="6"/>
  <c r="N44" i="6"/>
  <c r="P44" i="6"/>
  <c r="R44" i="6" s="1"/>
  <c r="M45" i="6"/>
  <c r="N45" i="6"/>
  <c r="P45" i="6"/>
  <c r="Q45" i="6" s="1"/>
  <c r="M46" i="6"/>
  <c r="N46" i="6"/>
  <c r="P46" i="6"/>
  <c r="Q46" i="6" s="1"/>
  <c r="M47" i="6"/>
  <c r="N47" i="6"/>
  <c r="P47" i="6"/>
  <c r="N48" i="6"/>
  <c r="P48" i="6"/>
  <c r="N49" i="6"/>
  <c r="P49" i="6"/>
  <c r="Q49" i="6" s="1"/>
  <c r="N50" i="6"/>
  <c r="P50" i="6"/>
  <c r="R50" i="6" s="1"/>
  <c r="P51" i="6"/>
  <c r="P52" i="6"/>
  <c r="R52" i="6" s="1"/>
  <c r="M53" i="6"/>
  <c r="N53" i="6"/>
  <c r="P53" i="6"/>
  <c r="Q53" i="6" s="1"/>
  <c r="M54" i="6"/>
  <c r="N54" i="6"/>
  <c r="P54" i="6"/>
  <c r="N55" i="6"/>
  <c r="P55" i="6"/>
  <c r="N56" i="6"/>
  <c r="P56" i="6"/>
  <c r="N57" i="6"/>
  <c r="P57" i="6"/>
  <c r="N58" i="6"/>
  <c r="P58" i="6"/>
  <c r="Q58" i="6" s="1"/>
  <c r="N59" i="6"/>
  <c r="P59" i="6"/>
  <c r="P60" i="6"/>
  <c r="R60" i="6" s="1"/>
  <c r="M61" i="6"/>
  <c r="N61" i="6"/>
  <c r="P61" i="6"/>
  <c r="Q61" i="6" s="1"/>
  <c r="M62" i="6"/>
  <c r="N62" i="6"/>
  <c r="P62" i="6"/>
  <c r="Q62" i="6" s="1"/>
  <c r="M63" i="6"/>
  <c r="N63" i="6"/>
  <c r="P63" i="6"/>
  <c r="M64" i="6"/>
  <c r="N64" i="6"/>
  <c r="P64" i="6"/>
  <c r="R64" i="6" s="1"/>
  <c r="M65" i="6"/>
  <c r="N65" i="6"/>
  <c r="P65" i="6"/>
  <c r="N66" i="6"/>
  <c r="P66" i="6"/>
  <c r="Q66" i="6" s="1"/>
  <c r="P67" i="6"/>
  <c r="P68" i="6"/>
  <c r="R68" i="6" s="1"/>
  <c r="N69" i="6"/>
  <c r="P69" i="6"/>
  <c r="Q69" i="6" s="1"/>
  <c r="M70" i="6"/>
  <c r="N70" i="6"/>
  <c r="P70" i="6"/>
  <c r="Q70" i="6" s="1"/>
  <c r="M71" i="6"/>
  <c r="N71" i="6"/>
  <c r="P71" i="6"/>
  <c r="M72" i="6"/>
  <c r="N72" i="6"/>
  <c r="P72" i="6"/>
  <c r="R72" i="6" s="1"/>
  <c r="M73" i="6"/>
  <c r="N73" i="6"/>
  <c r="P73" i="6"/>
  <c r="N74" i="6"/>
  <c r="P74" i="6"/>
  <c r="N75" i="6"/>
  <c r="P75" i="6"/>
  <c r="N76" i="6"/>
  <c r="P76" i="6"/>
  <c r="R76" i="6" s="1"/>
  <c r="N77" i="6"/>
  <c r="P77" i="6"/>
  <c r="Q77" i="6" s="1"/>
  <c r="M78" i="6"/>
  <c r="N78" i="6"/>
  <c r="P78" i="6"/>
  <c r="Q78" i="6" s="1"/>
  <c r="M79" i="6"/>
  <c r="N79" i="6"/>
  <c r="P79" i="6"/>
  <c r="M80" i="6"/>
  <c r="N80" i="6"/>
  <c r="P80" i="6"/>
  <c r="R80" i="6" s="1"/>
  <c r="M81" i="6"/>
  <c r="N81" i="6"/>
  <c r="P81" i="6"/>
  <c r="N82" i="6"/>
  <c r="P82" i="6"/>
  <c r="N83" i="6"/>
  <c r="P83" i="6"/>
  <c r="N84" i="6"/>
  <c r="P84" i="6"/>
  <c r="R84" i="6" s="1"/>
  <c r="P85" i="6"/>
  <c r="Q85" i="6" s="1"/>
  <c r="R85" i="6"/>
  <c r="P86" i="6"/>
  <c r="R86" i="6" s="1"/>
  <c r="P87" i="6"/>
  <c r="Q87" i="6" s="1"/>
  <c r="P88" i="6"/>
  <c r="R88" i="6" s="1"/>
  <c r="P89" i="6"/>
  <c r="Q89" i="6" s="1"/>
  <c r="M90" i="6"/>
  <c r="N90" i="6"/>
  <c r="P90" i="6"/>
  <c r="N91" i="6"/>
  <c r="P91" i="6"/>
  <c r="N92" i="6"/>
  <c r="P92" i="6"/>
  <c r="R92" i="6" s="1"/>
  <c r="P93" i="6"/>
  <c r="N94" i="6"/>
  <c r="P94" i="6"/>
  <c r="N95" i="6"/>
  <c r="P95" i="6"/>
  <c r="Q95" i="6" s="1"/>
  <c r="N96" i="6"/>
  <c r="P96" i="6"/>
  <c r="R96" i="6" s="1"/>
  <c r="N97" i="6"/>
  <c r="P97" i="6"/>
  <c r="Q97" i="6" s="1"/>
  <c r="N98" i="6"/>
  <c r="P98" i="6"/>
  <c r="P99" i="6"/>
  <c r="Q99" i="6" s="1"/>
  <c r="P100" i="6"/>
  <c r="R100" i="6" s="1"/>
  <c r="P101" i="6"/>
  <c r="M102" i="6"/>
  <c r="N102" i="6"/>
  <c r="P102" i="6"/>
  <c r="Q102" i="6" s="1"/>
  <c r="M103" i="6"/>
  <c r="N103" i="6"/>
  <c r="P103" i="6"/>
  <c r="N104" i="6"/>
  <c r="P104" i="6"/>
  <c r="R104" i="6" s="1"/>
  <c r="M105" i="6"/>
  <c r="N105" i="6"/>
  <c r="P105" i="6"/>
  <c r="M106" i="6"/>
  <c r="N106" i="6"/>
  <c r="P106" i="6"/>
  <c r="N107" i="6"/>
  <c r="P107" i="6"/>
  <c r="R107" i="6" s="1"/>
  <c r="N108" i="6"/>
  <c r="P108" i="6"/>
  <c r="Q108" i="6" s="1"/>
  <c r="P109" i="6"/>
  <c r="P110" i="6"/>
  <c r="R110" i="6" s="1"/>
  <c r="P111" i="6"/>
  <c r="Q111" i="6" s="1"/>
  <c r="P112" i="6"/>
  <c r="R112" i="6" s="1"/>
  <c r="P113" i="6"/>
  <c r="P114" i="6"/>
  <c r="R114" i="6" s="1"/>
  <c r="P115" i="6"/>
  <c r="Q115" i="6" s="1"/>
  <c r="M116" i="6"/>
  <c r="N116" i="6"/>
  <c r="P116" i="6"/>
  <c r="N117" i="6"/>
  <c r="P117" i="6"/>
  <c r="N118" i="6"/>
  <c r="P118" i="6"/>
  <c r="R118" i="6" s="1"/>
  <c r="P119" i="6"/>
  <c r="Q119" i="6" s="1"/>
  <c r="M120" i="6"/>
  <c r="N120" i="6"/>
  <c r="P120" i="6"/>
  <c r="N121" i="6"/>
  <c r="P121" i="6"/>
  <c r="N122" i="6"/>
  <c r="P122" i="6"/>
  <c r="R122" i="6" s="1"/>
  <c r="P123" i="6"/>
  <c r="Q123" i="6" s="1"/>
  <c r="P124" i="6"/>
  <c r="P125" i="6"/>
  <c r="P126" i="6"/>
  <c r="R126" i="6" s="1"/>
  <c r="N127" i="6"/>
  <c r="P127" i="6"/>
  <c r="Q127" i="6" s="1"/>
  <c r="N128" i="6"/>
  <c r="P128" i="6"/>
  <c r="R128" i="6" s="1"/>
  <c r="P129" i="6"/>
  <c r="P130" i="6"/>
  <c r="R130" i="6" s="1"/>
  <c r="P131" i="6"/>
  <c r="N132" i="6"/>
  <c r="P132" i="6"/>
  <c r="Q132" i="6" s="1"/>
  <c r="N133" i="6"/>
  <c r="P133" i="6"/>
  <c r="P134" i="6"/>
  <c r="R134" i="6" s="1"/>
  <c r="P135" i="6"/>
  <c r="Q135" i="6" s="1"/>
  <c r="P136" i="6"/>
  <c r="P137" i="6"/>
  <c r="P138" i="6"/>
  <c r="R138" i="6" s="1"/>
  <c r="P139" i="6"/>
  <c r="Q139" i="6" s="1"/>
  <c r="P140" i="6"/>
  <c r="Q140" i="6" s="1"/>
  <c r="P141" i="6"/>
  <c r="M142" i="6"/>
  <c r="N142" i="6"/>
  <c r="P142" i="6"/>
  <c r="N143" i="6"/>
  <c r="P143" i="6"/>
  <c r="Q143" i="6" s="1"/>
  <c r="M144" i="6"/>
  <c r="N144" i="6"/>
  <c r="P144" i="6"/>
  <c r="N145" i="6"/>
  <c r="P145" i="6"/>
  <c r="N146" i="6"/>
  <c r="P146" i="6"/>
  <c r="P147" i="6"/>
  <c r="Q147" i="6" s="1"/>
  <c r="N148" i="6"/>
  <c r="P148" i="6"/>
  <c r="R148" i="6" s="1"/>
  <c r="N149" i="6"/>
  <c r="P149" i="6"/>
  <c r="P150" i="6"/>
  <c r="R150" i="6" s="1"/>
  <c r="P151" i="6"/>
  <c r="Q151" i="6" s="1"/>
  <c r="M152" i="6"/>
  <c r="N152" i="6"/>
  <c r="P152" i="6"/>
  <c r="N153" i="6"/>
  <c r="P153" i="6"/>
  <c r="N154" i="6"/>
  <c r="P154" i="6"/>
  <c r="R154" i="6" s="1"/>
  <c r="N155" i="6"/>
  <c r="P155" i="6"/>
  <c r="P156" i="6"/>
  <c r="P157" i="6"/>
  <c r="P158" i="6"/>
  <c r="R158" i="6" s="1"/>
  <c r="P159" i="6"/>
  <c r="Q159" i="6" s="1"/>
  <c r="R159" i="6"/>
  <c r="P160" i="6"/>
  <c r="Q160" i="6" s="1"/>
  <c r="P161" i="6"/>
  <c r="Q161" i="6" s="1"/>
  <c r="P162" i="6"/>
  <c r="P163" i="6"/>
  <c r="P164" i="6"/>
  <c r="Q164" i="6" s="1"/>
  <c r="P165" i="6"/>
  <c r="Q165" i="6" s="1"/>
  <c r="N166" i="6"/>
  <c r="P166" i="6"/>
  <c r="N167" i="6"/>
  <c r="P167" i="6"/>
  <c r="Q167" i="6" s="1"/>
  <c r="N168" i="6"/>
  <c r="P168" i="6"/>
  <c r="R168" i="6" s="1"/>
  <c r="N169" i="6"/>
  <c r="P169" i="6"/>
  <c r="P170" i="6"/>
  <c r="P171" i="6"/>
  <c r="N172" i="6"/>
  <c r="P172" i="6"/>
  <c r="Q172" i="6" s="1"/>
  <c r="M173" i="6"/>
  <c r="N173" i="6"/>
  <c r="P173" i="6"/>
  <c r="M174" i="6"/>
  <c r="N174" i="6"/>
  <c r="P174" i="6"/>
  <c r="R174" i="6" s="1"/>
  <c r="M175" i="6"/>
  <c r="N175" i="6"/>
  <c r="P175" i="6"/>
  <c r="R175" i="6" s="1"/>
  <c r="M176" i="6"/>
  <c r="N176" i="6"/>
  <c r="P176" i="6"/>
  <c r="N177" i="6"/>
  <c r="P177" i="6"/>
  <c r="N178" i="6"/>
  <c r="P178" i="6"/>
  <c r="N179" i="6"/>
  <c r="P179" i="6"/>
  <c r="R179" i="6" s="1"/>
  <c r="P180" i="6"/>
  <c r="Q180" i="6" s="1"/>
  <c r="P181" i="6"/>
  <c r="Q181" i="6" s="1"/>
  <c r="M182" i="6"/>
  <c r="N182" i="6"/>
  <c r="P182" i="6"/>
  <c r="M183" i="6"/>
  <c r="N183" i="6"/>
  <c r="P183" i="6"/>
  <c r="M184" i="6"/>
  <c r="N184" i="6"/>
  <c r="P184" i="6"/>
  <c r="Q184" i="6" s="1"/>
  <c r="M185" i="6"/>
  <c r="N185" i="6"/>
  <c r="P185" i="6"/>
  <c r="Q185" i="6" s="1"/>
  <c r="M186" i="6"/>
  <c r="N186" i="6"/>
  <c r="P186" i="6"/>
  <c r="N187" i="6"/>
  <c r="P187" i="6"/>
  <c r="R187" i="6" s="1"/>
  <c r="N188" i="6"/>
  <c r="P188" i="6"/>
  <c r="Q188" i="6" s="1"/>
  <c r="P189" i="6"/>
  <c r="P190" i="6"/>
  <c r="P191" i="6"/>
  <c r="R191" i="6" s="1"/>
  <c r="P192" i="6"/>
  <c r="Q192" i="6" s="1"/>
  <c r="M193" i="6"/>
  <c r="N193" i="6"/>
  <c r="P193" i="6"/>
  <c r="Q193" i="6" s="1"/>
  <c r="M194" i="6"/>
  <c r="N194" i="6"/>
  <c r="P194" i="6"/>
  <c r="M195" i="6"/>
  <c r="N195" i="6"/>
  <c r="P195" i="6"/>
  <c r="N196" i="6"/>
  <c r="P196" i="6"/>
  <c r="Q196" i="6" s="1"/>
  <c r="N197" i="6"/>
  <c r="P197" i="6"/>
  <c r="N198" i="6"/>
  <c r="P198" i="6"/>
  <c r="P199" i="6"/>
  <c r="R199" i="6" s="1"/>
  <c r="N200" i="6"/>
  <c r="P200" i="6"/>
  <c r="R200" i="6" s="1"/>
  <c r="P201" i="6"/>
  <c r="Q201" i="6" s="1"/>
  <c r="P202" i="6"/>
  <c r="P203" i="6"/>
  <c r="R203" i="6" s="1"/>
  <c r="P204" i="6"/>
  <c r="P205" i="6"/>
  <c r="Q205" i="6" s="1"/>
  <c r="P206" i="6"/>
  <c r="P207" i="6"/>
  <c r="R207" i="6" s="1"/>
  <c r="P208" i="6"/>
  <c r="Q208" i="6" s="1"/>
  <c r="P209" i="6"/>
  <c r="Q209" i="6" s="1"/>
  <c r="P210" i="6"/>
  <c r="M211" i="6"/>
  <c r="N211" i="6"/>
  <c r="P211" i="6"/>
  <c r="R211" i="6" s="1"/>
  <c r="M212" i="6"/>
  <c r="N212" i="6"/>
  <c r="P212" i="6"/>
  <c r="N213" i="6"/>
  <c r="P213" i="6"/>
  <c r="R213" i="6" s="1"/>
  <c r="N214" i="6"/>
  <c r="P214" i="6"/>
  <c r="N215" i="6"/>
  <c r="P215" i="6"/>
  <c r="P216" i="6"/>
  <c r="R216" i="6" s="1"/>
  <c r="N217" i="6"/>
  <c r="P217" i="6"/>
  <c r="Q217" i="6" s="1"/>
  <c r="M218" i="6"/>
  <c r="N218" i="6"/>
  <c r="P218" i="6"/>
  <c r="M219" i="6"/>
  <c r="N219" i="6"/>
  <c r="P219" i="6"/>
  <c r="R219" i="6" s="1"/>
  <c r="M220" i="6"/>
  <c r="N220" i="6"/>
  <c r="P220" i="6"/>
  <c r="Q220" i="6" s="1"/>
  <c r="M221" i="6"/>
  <c r="N221" i="6"/>
  <c r="P221" i="6"/>
  <c r="N222" i="6"/>
  <c r="P222" i="6"/>
  <c r="N223" i="6"/>
  <c r="P223" i="6"/>
  <c r="R223" i="6" s="1"/>
  <c r="N224" i="6"/>
  <c r="P224" i="6"/>
  <c r="Q224" i="6" s="1"/>
  <c r="P225" i="6"/>
  <c r="Q225" i="6" s="1"/>
  <c r="P226" i="6"/>
  <c r="M227" i="6"/>
  <c r="N227" i="6"/>
  <c r="P227" i="6"/>
  <c r="R227" i="6" s="1"/>
  <c r="M228" i="6"/>
  <c r="N228" i="6"/>
  <c r="P228" i="6"/>
  <c r="Q228" i="6" s="1"/>
  <c r="M229" i="6"/>
  <c r="N229" i="6"/>
  <c r="P229" i="6"/>
  <c r="N230" i="6"/>
  <c r="P230" i="6"/>
  <c r="P231" i="6"/>
  <c r="P232" i="6"/>
  <c r="Q232" i="6" s="1"/>
  <c r="P233" i="6"/>
  <c r="R233" i="6" s="1"/>
  <c r="P234" i="6"/>
  <c r="P235" i="6"/>
  <c r="R235" i="6" s="1"/>
  <c r="P236" i="6"/>
  <c r="M237" i="6"/>
  <c r="N237" i="6"/>
  <c r="O237" i="6" s="1"/>
  <c r="P237" i="6"/>
  <c r="R237" i="6" s="1"/>
  <c r="M238" i="6"/>
  <c r="N238" i="6"/>
  <c r="P238" i="6"/>
  <c r="M239" i="6"/>
  <c r="N239" i="6"/>
  <c r="P239" i="6"/>
  <c r="R239" i="6" s="1"/>
  <c r="M240" i="6"/>
  <c r="N240" i="6"/>
  <c r="P240" i="6"/>
  <c r="Q240" i="6" s="1"/>
  <c r="M241" i="6"/>
  <c r="N241" i="6"/>
  <c r="P241" i="6"/>
  <c r="N242" i="6"/>
  <c r="P242" i="6"/>
  <c r="P243" i="6"/>
  <c r="P244" i="6"/>
  <c r="Q244" i="6" s="1"/>
  <c r="P245" i="6"/>
  <c r="Q245" i="6" s="1"/>
  <c r="P246" i="6"/>
  <c r="P247" i="6"/>
  <c r="R247" i="6" s="1"/>
  <c r="P248" i="6"/>
  <c r="Q248" i="6" s="1"/>
  <c r="P249" i="6"/>
  <c r="N250" i="6"/>
  <c r="P250" i="6"/>
  <c r="N251" i="6"/>
  <c r="P251" i="6"/>
  <c r="R251" i="6" s="1"/>
  <c r="N252" i="6"/>
  <c r="P252" i="6"/>
  <c r="N253" i="6"/>
  <c r="P253" i="6"/>
  <c r="R253" i="6" s="1"/>
  <c r="N254" i="6"/>
  <c r="P254" i="6"/>
  <c r="P255" i="6"/>
  <c r="P256" i="6"/>
  <c r="P257" i="6"/>
  <c r="Q257" i="6" s="1"/>
  <c r="P258" i="6"/>
  <c r="P259" i="6"/>
  <c r="R259" i="6" s="1"/>
  <c r="P260" i="6"/>
  <c r="P261" i="6"/>
  <c r="Q261" i="6" s="1"/>
  <c r="P262" i="6"/>
  <c r="Q262" i="6" s="1"/>
  <c r="N263" i="6"/>
  <c r="P263" i="6"/>
  <c r="N264" i="6"/>
  <c r="P264" i="6"/>
  <c r="R264" i="6" s="1"/>
  <c r="M265" i="6"/>
  <c r="N265" i="6"/>
  <c r="P265" i="6"/>
  <c r="Q265" i="6" s="1"/>
  <c r="M266" i="6"/>
  <c r="N266" i="6"/>
  <c r="P266" i="6"/>
  <c r="Q266" i="6" s="1"/>
  <c r="M267" i="6"/>
  <c r="N267" i="6"/>
  <c r="P267" i="6"/>
  <c r="N268" i="6"/>
  <c r="P268" i="6"/>
  <c r="N269" i="6"/>
  <c r="P269" i="6"/>
  <c r="N270" i="6"/>
  <c r="P270" i="6"/>
  <c r="Q270" i="6" s="1"/>
  <c r="P271" i="6"/>
  <c r="M272" i="6"/>
  <c r="N272" i="6"/>
  <c r="P272" i="6"/>
  <c r="R272" i="6" s="1"/>
  <c r="M273" i="6"/>
  <c r="N273" i="6"/>
  <c r="P273" i="6"/>
  <c r="Q273" i="6" s="1"/>
  <c r="M274" i="6"/>
  <c r="N274" i="6"/>
  <c r="P274" i="6"/>
  <c r="N275" i="6"/>
  <c r="P275" i="6"/>
  <c r="N276" i="6"/>
  <c r="P276" i="6"/>
  <c r="N277" i="6"/>
  <c r="P277" i="6"/>
  <c r="R277" i="6" s="1"/>
  <c r="N278" i="6"/>
  <c r="P278" i="6"/>
  <c r="Q278" i="6" s="1"/>
  <c r="N279" i="6"/>
  <c r="P279" i="6"/>
  <c r="P280" i="6"/>
  <c r="R280" i="6" s="1"/>
  <c r="M281" i="6"/>
  <c r="N281" i="6"/>
  <c r="P281" i="6"/>
  <c r="Q281" i="6" s="1"/>
  <c r="M282" i="6"/>
  <c r="N282" i="6"/>
  <c r="P282" i="6"/>
  <c r="R282" i="6" s="1"/>
  <c r="M283" i="6"/>
  <c r="N283" i="6"/>
  <c r="P283" i="6"/>
  <c r="P284" i="6"/>
  <c r="R284" i="6" s="1"/>
  <c r="M285" i="6"/>
  <c r="N285" i="6"/>
  <c r="P285" i="6"/>
  <c r="N286" i="6"/>
  <c r="P286" i="6"/>
  <c r="Q286" i="6" s="1"/>
  <c r="N287" i="6"/>
  <c r="P287" i="6"/>
  <c r="N288" i="6"/>
  <c r="P288" i="6"/>
  <c r="R288" i="6" s="1"/>
  <c r="P289" i="6"/>
  <c r="P290" i="6"/>
  <c r="M291" i="6"/>
  <c r="N291" i="6"/>
  <c r="P291" i="6"/>
  <c r="M292" i="6"/>
  <c r="N292" i="6"/>
  <c r="P292" i="6"/>
  <c r="R292" i="6" s="1"/>
  <c r="M293" i="6"/>
  <c r="N293" i="6"/>
  <c r="O293" i="6" s="1"/>
  <c r="P293" i="6"/>
  <c r="R293" i="6" s="1"/>
  <c r="M294" i="6"/>
  <c r="N294" i="6"/>
  <c r="P294" i="6"/>
  <c r="N295" i="6"/>
  <c r="P295" i="6"/>
  <c r="P296" i="6"/>
  <c r="R296" i="6" s="1"/>
  <c r="N297" i="6"/>
  <c r="P297" i="6"/>
  <c r="N298" i="6"/>
  <c r="P298" i="6"/>
  <c r="Q298" i="6" s="1"/>
  <c r="P299" i="6"/>
  <c r="P300" i="6"/>
  <c r="R300" i="6" s="1"/>
  <c r="M301" i="6"/>
  <c r="N301" i="6"/>
  <c r="P301" i="6"/>
  <c r="P302" i="6"/>
  <c r="R302" i="6" s="1"/>
  <c r="M303" i="6"/>
  <c r="N303" i="6"/>
  <c r="P303" i="6"/>
  <c r="N304" i="6"/>
  <c r="P304" i="6"/>
  <c r="R304" i="6" s="1"/>
  <c r="N305" i="6"/>
  <c r="P305" i="6"/>
  <c r="N306" i="6"/>
  <c r="P306" i="6"/>
  <c r="R306" i="6" s="1"/>
  <c r="N307" i="6"/>
  <c r="P307" i="6"/>
  <c r="N308" i="6"/>
  <c r="P308" i="6"/>
  <c r="R308" i="6" s="1"/>
  <c r="N309" i="6"/>
  <c r="P309" i="6"/>
  <c r="P310" i="6"/>
  <c r="Q310" i="6" s="1"/>
  <c r="P311" i="6"/>
  <c r="N312" i="6"/>
  <c r="P312" i="6"/>
  <c r="R312" i="6" s="1"/>
  <c r="Q312" i="6"/>
  <c r="M313" i="6"/>
  <c r="N313" i="6"/>
  <c r="P313" i="6"/>
  <c r="R313" i="6" s="1"/>
  <c r="Q313" i="6"/>
  <c r="M314" i="6"/>
  <c r="N314" i="6"/>
  <c r="P314" i="6"/>
  <c r="M315" i="6"/>
  <c r="N315" i="6"/>
  <c r="P315" i="6"/>
  <c r="M316" i="6"/>
  <c r="N316" i="6"/>
  <c r="P316" i="6"/>
  <c r="N317" i="6"/>
  <c r="P317" i="6"/>
  <c r="N318" i="6"/>
  <c r="P318" i="6"/>
  <c r="Q318" i="6" s="1"/>
  <c r="P319" i="6"/>
  <c r="P320" i="6"/>
  <c r="P321" i="6"/>
  <c r="P322" i="6"/>
  <c r="Q322" i="6" s="1"/>
  <c r="M323" i="6"/>
  <c r="N323" i="6"/>
  <c r="P323" i="6"/>
  <c r="M324" i="6"/>
  <c r="N324" i="6"/>
  <c r="P324" i="6"/>
  <c r="R324" i="6" s="1"/>
  <c r="M325" i="6"/>
  <c r="N325" i="6"/>
  <c r="P325" i="6"/>
  <c r="N326" i="6"/>
  <c r="P326" i="6"/>
  <c r="Q326" i="6" s="1"/>
  <c r="N327" i="6"/>
  <c r="P327" i="6"/>
  <c r="P328" i="6"/>
  <c r="P329" i="6"/>
  <c r="Q329" i="6" s="1"/>
  <c r="P330" i="6"/>
  <c r="Q330" i="6" s="1"/>
  <c r="P331" i="6"/>
  <c r="P332" i="6"/>
  <c r="R332" i="6" s="1"/>
  <c r="M333" i="6"/>
  <c r="N333" i="6"/>
  <c r="O333" i="6" s="1"/>
  <c r="P333" i="6"/>
  <c r="R333" i="6" s="1"/>
  <c r="M334" i="6"/>
  <c r="N334" i="6"/>
  <c r="P334" i="6"/>
  <c r="N335" i="6"/>
  <c r="P335" i="6"/>
  <c r="P336" i="6"/>
  <c r="R336" i="6" s="1"/>
  <c r="P337" i="6"/>
  <c r="P338" i="6"/>
  <c r="R338" i="6" s="1"/>
  <c r="P339" i="6"/>
  <c r="P340" i="6"/>
  <c r="R340" i="6" s="1"/>
  <c r="P341" i="6"/>
  <c r="Q341" i="6" s="1"/>
  <c r="P342" i="6"/>
  <c r="P343" i="6"/>
  <c r="P344" i="6"/>
  <c r="R344" i="6" s="1"/>
  <c r="M345" i="6"/>
  <c r="N345" i="6"/>
  <c r="P345" i="6"/>
  <c r="R345" i="6" s="1"/>
  <c r="M346" i="6"/>
  <c r="N346" i="6"/>
  <c r="P346" i="6"/>
  <c r="Q346" i="6" s="1"/>
  <c r="M347" i="6"/>
  <c r="N347" i="6"/>
  <c r="P347" i="6"/>
  <c r="N348" i="6"/>
  <c r="P348" i="6"/>
  <c r="N349" i="6"/>
  <c r="P349" i="6"/>
  <c r="N350" i="6"/>
  <c r="P350" i="6"/>
  <c r="Q350" i="6" s="1"/>
  <c r="N351" i="6"/>
  <c r="P351" i="6"/>
  <c r="P352" i="6"/>
  <c r="P353" i="6"/>
  <c r="Q353" i="6" s="1"/>
  <c r="R353" i="6"/>
  <c r="P354" i="6"/>
  <c r="Q354" i="6" s="1"/>
  <c r="M355" i="6"/>
  <c r="N355" i="6"/>
  <c r="P355" i="6"/>
  <c r="M356" i="6"/>
  <c r="N356" i="6"/>
  <c r="P356" i="6"/>
  <c r="R356" i="6" s="1"/>
  <c r="M357" i="6"/>
  <c r="N357" i="6"/>
  <c r="P357" i="6"/>
  <c r="Q357" i="6" s="1"/>
  <c r="M358" i="6"/>
  <c r="N358" i="6"/>
  <c r="P358" i="6"/>
  <c r="Q358" i="6" s="1"/>
  <c r="M359" i="6"/>
  <c r="N359" i="6"/>
  <c r="P359" i="6"/>
  <c r="P360" i="6"/>
  <c r="R360" i="6" s="1"/>
  <c r="N361" i="6"/>
  <c r="P361" i="6"/>
  <c r="N362" i="6"/>
  <c r="P362" i="6"/>
  <c r="Q362" i="6" s="1"/>
  <c r="N363" i="6"/>
  <c r="P363" i="6"/>
  <c r="N364" i="6"/>
  <c r="P364" i="6"/>
  <c r="R364" i="6" s="1"/>
  <c r="N365" i="6"/>
  <c r="P365" i="6"/>
  <c r="P366" i="6"/>
  <c r="Q366" i="6" s="1"/>
  <c r="P367" i="6"/>
  <c r="P368" i="6"/>
  <c r="P369" i="6"/>
  <c r="P370" i="6"/>
  <c r="P371" i="6"/>
  <c r="P372" i="6"/>
  <c r="R372" i="6" s="1"/>
  <c r="P373" i="6"/>
  <c r="Q373" i="6" s="1"/>
  <c r="N374" i="6"/>
  <c r="P374" i="6"/>
  <c r="Q374" i="6" s="1"/>
  <c r="M375" i="6"/>
  <c r="N375" i="6"/>
  <c r="P375" i="6"/>
  <c r="M376" i="6"/>
  <c r="N376" i="6"/>
  <c r="P376" i="6"/>
  <c r="R376" i="6" s="1"/>
  <c r="M377" i="6"/>
  <c r="N377" i="6"/>
  <c r="P377" i="6"/>
  <c r="P378" i="6"/>
  <c r="N379" i="6"/>
  <c r="P379" i="6"/>
  <c r="N380" i="6"/>
  <c r="P380" i="6"/>
  <c r="R380" i="6" s="1"/>
  <c r="P381" i="6"/>
  <c r="R381" i="6" s="1"/>
  <c r="P382" i="6"/>
  <c r="Q382" i="6" s="1"/>
  <c r="P383" i="6"/>
  <c r="P384" i="6"/>
  <c r="M385" i="6"/>
  <c r="N385" i="6"/>
  <c r="P385" i="6"/>
  <c r="M386" i="6"/>
  <c r="N386" i="6"/>
  <c r="P386" i="6"/>
  <c r="Q386" i="6" s="1"/>
  <c r="R386" i="6"/>
  <c r="M387" i="6"/>
  <c r="N387" i="6"/>
  <c r="P387" i="6"/>
  <c r="M388" i="6"/>
  <c r="N388" i="6"/>
  <c r="P388" i="6"/>
  <c r="N389" i="6"/>
  <c r="P389" i="6"/>
  <c r="P390" i="6"/>
  <c r="R390" i="6" s="1"/>
  <c r="P391" i="6"/>
  <c r="P392" i="6"/>
  <c r="M393" i="6"/>
  <c r="N393" i="6"/>
  <c r="P393" i="6"/>
  <c r="Q393" i="6" s="1"/>
  <c r="M394" i="6"/>
  <c r="N394" i="6"/>
  <c r="P394" i="6"/>
  <c r="Q394" i="6" s="1"/>
  <c r="M395" i="6"/>
  <c r="N395" i="6"/>
  <c r="P395" i="6"/>
  <c r="P396" i="6"/>
  <c r="M397" i="6"/>
  <c r="N397" i="6"/>
  <c r="P397" i="6"/>
  <c r="N398" i="6"/>
  <c r="P398" i="6"/>
  <c r="R398" i="6" s="1"/>
  <c r="N399" i="6"/>
  <c r="P399" i="6"/>
  <c r="Q399" i="6" s="1"/>
  <c r="P400" i="6"/>
  <c r="P401" i="6"/>
  <c r="P402" i="6"/>
  <c r="Q402" i="6" s="1"/>
  <c r="P403" i="6"/>
  <c r="N404" i="6"/>
  <c r="P404" i="6"/>
  <c r="N405" i="6"/>
  <c r="P405" i="6"/>
  <c r="Q405" i="6" s="1"/>
  <c r="N406" i="6"/>
  <c r="P406" i="6"/>
  <c r="N407" i="6"/>
  <c r="P407" i="6"/>
  <c r="P408" i="6"/>
  <c r="N409" i="6"/>
  <c r="P409" i="6"/>
  <c r="Q409" i="6" s="1"/>
  <c r="N410" i="6"/>
  <c r="P410" i="6"/>
  <c r="R410" i="6" s="1"/>
  <c r="N411" i="6"/>
  <c r="P411" i="6"/>
  <c r="Q411" i="6" s="1"/>
  <c r="P412" i="6"/>
  <c r="M413" i="6"/>
  <c r="N413" i="6"/>
  <c r="P413" i="6"/>
  <c r="P414" i="6"/>
  <c r="Q414" i="6" s="1"/>
  <c r="M415" i="6"/>
  <c r="N415" i="6"/>
  <c r="P415" i="6"/>
  <c r="N416" i="6"/>
  <c r="P416" i="6"/>
  <c r="Q416" i="6" s="1"/>
  <c r="N417" i="6"/>
  <c r="P417" i="6"/>
  <c r="N418" i="6"/>
  <c r="P418" i="6"/>
  <c r="Q418" i="6" s="1"/>
  <c r="N419" i="6"/>
  <c r="P419" i="6"/>
  <c r="P420" i="6"/>
  <c r="Q420" i="6" s="1"/>
  <c r="M421" i="6"/>
  <c r="N421" i="6"/>
  <c r="P421" i="6"/>
  <c r="Q421" i="6" s="1"/>
  <c r="M422" i="6"/>
  <c r="N422" i="6"/>
  <c r="P422" i="6"/>
  <c r="Q422" i="6" s="1"/>
  <c r="M423" i="6"/>
  <c r="N423" i="6"/>
  <c r="P423" i="6"/>
  <c r="N424" i="6"/>
  <c r="P424" i="6"/>
  <c r="R424" i="6" s="1"/>
  <c r="Q424" i="6"/>
  <c r="N425" i="6"/>
  <c r="P425" i="6"/>
  <c r="P426" i="6"/>
  <c r="Q426" i="6" s="1"/>
  <c r="N427" i="6"/>
  <c r="P427" i="6"/>
  <c r="P428" i="6"/>
  <c r="Q428" i="6" s="1"/>
  <c r="P429" i="6"/>
  <c r="Q429" i="6" s="1"/>
  <c r="P430" i="6"/>
  <c r="Q430" i="6" s="1"/>
  <c r="P431" i="6"/>
  <c r="P432" i="6"/>
  <c r="R432" i="6" s="1"/>
  <c r="Q432" i="6"/>
  <c r="P433" i="6"/>
  <c r="Q433" i="6" s="1"/>
  <c r="P434" i="6"/>
  <c r="Q434" i="6" s="1"/>
  <c r="P435" i="6"/>
  <c r="P436" i="6"/>
  <c r="Q436" i="6" s="1"/>
  <c r="M437" i="6"/>
  <c r="N437" i="6"/>
  <c r="P437" i="6"/>
  <c r="P438" i="6"/>
  <c r="Q438" i="6" s="1"/>
  <c r="M439" i="6"/>
  <c r="N439" i="6"/>
  <c r="P439" i="6"/>
  <c r="N440" i="6"/>
  <c r="P440" i="6"/>
  <c r="R440" i="6" s="1"/>
  <c r="Q440" i="6"/>
  <c r="N441" i="6"/>
  <c r="P441" i="6"/>
  <c r="N442" i="6"/>
  <c r="P442" i="6"/>
  <c r="N443" i="6"/>
  <c r="P443" i="6"/>
  <c r="P444" i="6"/>
  <c r="Q444" i="6" s="1"/>
  <c r="M445" i="6"/>
  <c r="N445" i="6"/>
  <c r="P445" i="6"/>
  <c r="Q445" i="6" s="1"/>
  <c r="M446" i="6"/>
  <c r="N446" i="6"/>
  <c r="P446" i="6"/>
  <c r="M447" i="6"/>
  <c r="N447" i="6"/>
  <c r="P447" i="6"/>
  <c r="N448" i="6"/>
  <c r="P448" i="6"/>
  <c r="R448" i="6" s="1"/>
  <c r="N449" i="6"/>
  <c r="P449" i="6"/>
  <c r="N450" i="6"/>
  <c r="P450" i="6"/>
  <c r="P451" i="6"/>
  <c r="P452" i="6"/>
  <c r="Q452" i="6" s="1"/>
  <c r="P453" i="6"/>
  <c r="P454" i="6"/>
  <c r="P455" i="6"/>
  <c r="M456" i="6"/>
  <c r="N456" i="6"/>
  <c r="P456" i="6"/>
  <c r="Q456" i="6" s="1"/>
  <c r="M457" i="6"/>
  <c r="N457" i="6"/>
  <c r="P457" i="6"/>
  <c r="Q457" i="6" s="1"/>
  <c r="M458" i="6"/>
  <c r="N458" i="6"/>
  <c r="P458" i="6"/>
  <c r="N459" i="6"/>
  <c r="P459" i="6"/>
  <c r="N460" i="6"/>
  <c r="P460" i="6"/>
  <c r="N461" i="6"/>
  <c r="P461" i="6"/>
  <c r="P462" i="6"/>
  <c r="P463" i="6"/>
  <c r="R463" i="6" s="1"/>
  <c r="Q463" i="6"/>
  <c r="P464" i="6"/>
  <c r="R464" i="6" s="1"/>
  <c r="Q464" i="6"/>
  <c r="P465" i="6"/>
  <c r="R465" i="6" s="1"/>
  <c r="P466" i="6"/>
  <c r="P467" i="6"/>
  <c r="P468" i="6"/>
  <c r="R468" i="6" s="1"/>
  <c r="N469" i="6"/>
  <c r="P469" i="6"/>
  <c r="R469" i="6" s="1"/>
  <c r="P470" i="6"/>
  <c r="M471" i="6"/>
  <c r="N471" i="6"/>
  <c r="P471" i="6"/>
  <c r="M472" i="6"/>
  <c r="N472" i="6"/>
  <c r="P472" i="6"/>
  <c r="Q472" i="6" s="1"/>
  <c r="M473" i="6"/>
  <c r="N473" i="6"/>
  <c r="P473" i="6"/>
  <c r="N474" i="6"/>
  <c r="P474" i="6"/>
  <c r="P475" i="6"/>
  <c r="P476" i="6"/>
  <c r="Q476" i="6" s="1"/>
  <c r="P477" i="6"/>
  <c r="Q477" i="6" s="1"/>
  <c r="P478" i="6"/>
  <c r="P479" i="6"/>
  <c r="P480" i="6"/>
  <c r="Q480" i="6" s="1"/>
  <c r="P481" i="6"/>
  <c r="Q481" i="6" s="1"/>
  <c r="M482" i="6"/>
  <c r="N482" i="6"/>
  <c r="P482" i="6"/>
  <c r="M483" i="6"/>
  <c r="N483" i="6"/>
  <c r="P483" i="6"/>
  <c r="R483" i="6" s="1"/>
  <c r="Q483" i="6"/>
  <c r="M484" i="6"/>
  <c r="N484" i="6"/>
  <c r="P484" i="6"/>
  <c r="N485" i="6"/>
  <c r="P485" i="6"/>
  <c r="N486" i="6"/>
  <c r="P486" i="6"/>
  <c r="P487" i="6"/>
  <c r="R487" i="6" s="1"/>
  <c r="P488" i="6"/>
  <c r="R488" i="6" s="1"/>
  <c r="P489" i="6"/>
  <c r="Q489" i="6" s="1"/>
  <c r="P490" i="6"/>
  <c r="P491" i="6"/>
  <c r="P492" i="6"/>
  <c r="P493" i="6"/>
  <c r="R493" i="6" s="1"/>
  <c r="P494" i="6"/>
  <c r="P495" i="6"/>
  <c r="R495" i="6" s="1"/>
  <c r="M496" i="6"/>
  <c r="N496" i="6"/>
  <c r="P496" i="6"/>
  <c r="Q496" i="6" s="1"/>
  <c r="M497" i="6"/>
  <c r="N497" i="6"/>
  <c r="P497" i="6"/>
  <c r="M498" i="6"/>
  <c r="N498" i="6"/>
  <c r="P498" i="6"/>
  <c r="M499" i="6"/>
  <c r="N499" i="6"/>
  <c r="P499" i="6"/>
  <c r="N500" i="6"/>
  <c r="P500" i="6"/>
  <c r="N501" i="6"/>
  <c r="P501" i="6"/>
  <c r="R501" i="6" s="1"/>
  <c r="P502" i="6"/>
  <c r="N503" i="6"/>
  <c r="P503" i="6"/>
  <c r="M504" i="6"/>
  <c r="N504" i="6"/>
  <c r="O504" i="6" s="1"/>
  <c r="P504" i="6"/>
  <c r="R504" i="6" s="1"/>
  <c r="M505" i="6"/>
  <c r="N505" i="6"/>
  <c r="P505" i="6"/>
  <c r="R505" i="6" s="1"/>
  <c r="M506" i="6"/>
  <c r="N506" i="6"/>
  <c r="P506" i="6"/>
  <c r="M507" i="6"/>
  <c r="N507" i="6"/>
  <c r="P507" i="6"/>
  <c r="N508" i="6"/>
  <c r="P508" i="6"/>
  <c r="N509" i="6"/>
  <c r="P509" i="6"/>
  <c r="N510" i="6"/>
  <c r="P510" i="6"/>
  <c r="N511" i="6"/>
  <c r="P511" i="6"/>
  <c r="R511" i="6" s="1"/>
  <c r="N512" i="6"/>
  <c r="P512" i="6"/>
  <c r="Q512" i="6" s="1"/>
  <c r="N513" i="6"/>
  <c r="P513" i="6"/>
  <c r="N514" i="6"/>
  <c r="P514" i="6"/>
  <c r="M515" i="6"/>
  <c r="N515" i="6"/>
  <c r="P515" i="6"/>
  <c r="M516" i="6"/>
  <c r="N516" i="6"/>
  <c r="P516" i="6"/>
  <c r="Q516" i="6" s="1"/>
  <c r="M517" i="6"/>
  <c r="N517" i="6"/>
  <c r="P517" i="6"/>
  <c r="Q517" i="6" s="1"/>
  <c r="M518" i="6"/>
  <c r="N518" i="6"/>
  <c r="P518" i="6"/>
  <c r="M519" i="6"/>
  <c r="N519" i="6"/>
  <c r="P519" i="6"/>
  <c r="P520" i="6"/>
  <c r="Q520" i="6" s="1"/>
  <c r="P521" i="6"/>
  <c r="M522" i="6"/>
  <c r="N522" i="6"/>
  <c r="P522" i="6"/>
  <c r="M523" i="6"/>
  <c r="N523" i="6"/>
  <c r="P523" i="6"/>
  <c r="M524" i="6"/>
  <c r="N524" i="6"/>
  <c r="P524" i="6"/>
  <c r="M525" i="6"/>
  <c r="N525" i="6"/>
  <c r="P525" i="6"/>
  <c r="R525" i="6" s="1"/>
  <c r="M526" i="6"/>
  <c r="N526" i="6"/>
  <c r="P526" i="6"/>
  <c r="P527" i="6"/>
  <c r="P528" i="6"/>
  <c r="R528" i="6" s="1"/>
  <c r="M529" i="6"/>
  <c r="N529" i="6"/>
  <c r="P529" i="6"/>
  <c r="Q529" i="6" s="1"/>
  <c r="M530" i="6"/>
  <c r="N530" i="6"/>
  <c r="P530" i="6"/>
  <c r="M531" i="6"/>
  <c r="N531" i="6"/>
  <c r="P531" i="6"/>
  <c r="R531" i="6" s="1"/>
  <c r="M532" i="6"/>
  <c r="N532" i="6"/>
  <c r="P532" i="6"/>
  <c r="P533" i="6"/>
  <c r="P534" i="6"/>
  <c r="P535" i="6"/>
  <c r="R535" i="6" s="1"/>
  <c r="M536" i="6"/>
  <c r="N536" i="6"/>
  <c r="P536" i="6"/>
  <c r="R536" i="6" s="1"/>
  <c r="M537" i="6"/>
  <c r="N537" i="6"/>
  <c r="P537" i="6"/>
  <c r="R537" i="6" s="1"/>
  <c r="M538" i="6"/>
  <c r="N538" i="6"/>
  <c r="P538" i="6"/>
  <c r="M539" i="6"/>
  <c r="N539" i="6"/>
  <c r="P539" i="6"/>
  <c r="N540" i="6"/>
  <c r="P540" i="6"/>
  <c r="P541" i="6"/>
  <c r="P542" i="6"/>
  <c r="P543" i="6"/>
  <c r="R543" i="6" s="1"/>
  <c r="P544" i="6"/>
  <c r="P545" i="6"/>
  <c r="P546" i="6"/>
  <c r="P547" i="6"/>
  <c r="P548" i="6"/>
  <c r="M549" i="6"/>
  <c r="N549" i="6"/>
  <c r="P549" i="6"/>
  <c r="M550" i="6"/>
  <c r="N550" i="6"/>
  <c r="P550" i="6"/>
  <c r="M551" i="6"/>
  <c r="N551" i="6"/>
  <c r="P551" i="6"/>
  <c r="M552" i="6"/>
  <c r="N552" i="6"/>
  <c r="P552" i="6"/>
  <c r="N553" i="6"/>
  <c r="P553" i="6"/>
  <c r="P554" i="6"/>
  <c r="P555" i="6"/>
  <c r="R555" i="6" s="1"/>
  <c r="P556" i="6"/>
  <c r="P557" i="6"/>
  <c r="P558" i="6"/>
  <c r="P559" i="6"/>
  <c r="P560" i="6"/>
  <c r="R560" i="6" s="1"/>
  <c r="M561" i="6"/>
  <c r="N561" i="6"/>
  <c r="P561" i="6"/>
  <c r="N562" i="6"/>
  <c r="P562" i="6"/>
  <c r="N563" i="6"/>
  <c r="P563" i="6"/>
  <c r="N564" i="6"/>
  <c r="P564" i="6"/>
  <c r="R564" i="6" s="1"/>
  <c r="N565" i="6"/>
  <c r="P565" i="6"/>
  <c r="N566" i="6"/>
  <c r="P566" i="6"/>
  <c r="P567" i="6"/>
  <c r="R567" i="6" s="1"/>
  <c r="P568" i="6"/>
  <c r="Q568" i="6" s="1"/>
  <c r="P569" i="6"/>
  <c r="P570" i="6"/>
  <c r="P571" i="6"/>
  <c r="R571" i="6" s="1"/>
  <c r="P572" i="6"/>
  <c r="Q572" i="6" s="1"/>
  <c r="P573" i="6"/>
  <c r="R573" i="6" s="1"/>
  <c r="M574" i="6"/>
  <c r="N574" i="6"/>
  <c r="P574" i="6"/>
  <c r="M575" i="6"/>
  <c r="N575" i="6"/>
  <c r="P575" i="6"/>
  <c r="M576" i="6"/>
  <c r="N576" i="6"/>
  <c r="P576" i="6"/>
  <c r="P577" i="6"/>
  <c r="Q577" i="6" s="1"/>
  <c r="M578" i="6"/>
  <c r="N578" i="6"/>
  <c r="P578" i="6"/>
  <c r="N579" i="6"/>
  <c r="P579" i="6"/>
  <c r="R579" i="6" s="1"/>
  <c r="N580" i="6"/>
  <c r="P580" i="6"/>
  <c r="Q580" i="6" s="1"/>
  <c r="N581" i="6"/>
  <c r="P581" i="6"/>
  <c r="P582" i="6"/>
  <c r="P583" i="6"/>
  <c r="R583" i="6" s="1"/>
  <c r="P584" i="6"/>
  <c r="Q584" i="6" s="1"/>
  <c r="M585" i="6"/>
  <c r="N585" i="6"/>
  <c r="P585" i="6"/>
  <c r="R585" i="6" s="1"/>
  <c r="M586" i="6"/>
  <c r="N586" i="6"/>
  <c r="P586" i="6"/>
  <c r="M587" i="6"/>
  <c r="N587" i="6"/>
  <c r="P587" i="6"/>
  <c r="N588" i="6"/>
  <c r="P588" i="6"/>
  <c r="N589" i="6"/>
  <c r="P589" i="6"/>
  <c r="P590" i="6"/>
  <c r="P591" i="6"/>
  <c r="R591" i="6" s="1"/>
  <c r="P592" i="6"/>
  <c r="R592" i="6" s="1"/>
  <c r="P593" i="6"/>
  <c r="Q593" i="6" s="1"/>
  <c r="P594" i="6"/>
  <c r="P595" i="6"/>
  <c r="R595" i="6" s="1"/>
  <c r="P596" i="6"/>
  <c r="Q596" i="6" s="1"/>
  <c r="M597" i="6"/>
  <c r="N597" i="6"/>
  <c r="P597" i="6"/>
  <c r="R597" i="6" s="1"/>
  <c r="M598" i="6"/>
  <c r="N598" i="6"/>
  <c r="P598" i="6"/>
  <c r="M599" i="6"/>
  <c r="N599" i="6"/>
  <c r="P599" i="6"/>
  <c r="N600" i="6"/>
  <c r="P600" i="6"/>
  <c r="P601" i="6"/>
  <c r="P602" i="6"/>
  <c r="P603" i="6"/>
  <c r="R603" i="6" s="1"/>
  <c r="P604" i="6"/>
  <c r="Q604" i="6" s="1"/>
  <c r="R604" i="6"/>
  <c r="P605" i="6"/>
  <c r="R605" i="6" s="1"/>
  <c r="P606" i="6"/>
  <c r="P607" i="6"/>
  <c r="P608" i="6"/>
  <c r="P609" i="6"/>
  <c r="R609" i="6" s="1"/>
  <c r="N610" i="6"/>
  <c r="P610" i="6"/>
  <c r="P611" i="6"/>
  <c r="R611" i="6" s="1"/>
  <c r="P612" i="6"/>
  <c r="R612" i="6" s="1"/>
  <c r="M613" i="6"/>
  <c r="N613" i="6"/>
  <c r="P613" i="6"/>
  <c r="N614" i="6"/>
  <c r="P614" i="6"/>
  <c r="N615" i="6"/>
  <c r="P615" i="6"/>
  <c r="R615" i="6" s="1"/>
  <c r="P616" i="6"/>
  <c r="Q616" i="6" s="1"/>
  <c r="P617" i="6"/>
  <c r="P618" i="6"/>
  <c r="P619" i="6"/>
  <c r="R619" i="6" s="1"/>
  <c r="P620" i="6"/>
  <c r="R620" i="6" s="1"/>
  <c r="P621" i="6"/>
  <c r="Q621" i="6" s="1"/>
  <c r="P622" i="6"/>
  <c r="M623" i="6"/>
  <c r="N623" i="6"/>
  <c r="P623" i="6"/>
  <c r="R623" i="6" s="1"/>
  <c r="M624" i="6"/>
  <c r="N624" i="6"/>
  <c r="P624" i="6"/>
  <c r="N625" i="6"/>
  <c r="P625" i="6"/>
  <c r="R625" i="6" s="1"/>
  <c r="N626" i="6"/>
  <c r="P626" i="6"/>
  <c r="N627" i="6"/>
  <c r="P627" i="6"/>
  <c r="N628" i="6"/>
  <c r="P628" i="6"/>
  <c r="P629" i="6"/>
  <c r="P630" i="6"/>
  <c r="P631" i="6"/>
  <c r="R631" i="6" s="1"/>
  <c r="P632" i="6"/>
  <c r="P633" i="6"/>
  <c r="R633" i="6" s="1"/>
  <c r="P634" i="6"/>
  <c r="P635" i="6"/>
  <c r="N636" i="6"/>
  <c r="P636" i="6"/>
  <c r="R636" i="6" s="1"/>
  <c r="N637" i="6"/>
  <c r="P637" i="6"/>
  <c r="R637" i="6" s="1"/>
  <c r="M638" i="6"/>
  <c r="N638" i="6"/>
  <c r="P638" i="6"/>
  <c r="M639" i="6"/>
  <c r="N639" i="6"/>
  <c r="P639" i="6"/>
  <c r="R639" i="6" s="1"/>
  <c r="M640" i="6"/>
  <c r="N640" i="6"/>
  <c r="P640" i="6"/>
  <c r="N641" i="6"/>
  <c r="P641" i="6"/>
  <c r="R641" i="6" s="1"/>
  <c r="P642" i="6"/>
  <c r="P643" i="6"/>
  <c r="P644" i="6"/>
  <c r="P645" i="6"/>
  <c r="Q645" i="6" s="1"/>
  <c r="P646" i="6"/>
  <c r="P647" i="6"/>
  <c r="R647" i="6" s="1"/>
  <c r="P648" i="6"/>
  <c r="M649" i="6"/>
  <c r="N649" i="6"/>
  <c r="P649" i="6"/>
  <c r="Q649" i="6" s="1"/>
  <c r="M650" i="6"/>
  <c r="N650" i="6"/>
  <c r="P650" i="6"/>
  <c r="M651" i="6"/>
  <c r="N651" i="6"/>
  <c r="P651" i="6"/>
  <c r="M652" i="6"/>
  <c r="N652" i="6"/>
  <c r="P652" i="6"/>
  <c r="Q652" i="6" s="1"/>
  <c r="M653" i="6"/>
  <c r="N653" i="6"/>
  <c r="P653" i="6"/>
  <c r="N654" i="6"/>
  <c r="P654" i="6"/>
  <c r="P655" i="6"/>
  <c r="R655" i="6" s="1"/>
  <c r="P656" i="6"/>
  <c r="P657" i="6"/>
  <c r="R657" i="6" s="1"/>
  <c r="P658" i="6"/>
  <c r="Q658" i="6" s="1"/>
  <c r="P659" i="6"/>
  <c r="R659" i="6" s="1"/>
  <c r="P660" i="6"/>
  <c r="P661" i="6"/>
  <c r="R661" i="6" s="1"/>
  <c r="M662" i="6"/>
  <c r="N662" i="6"/>
  <c r="P662" i="6"/>
  <c r="Q662" i="6" s="1"/>
  <c r="R662" i="6"/>
  <c r="M663" i="6"/>
  <c r="N663" i="6"/>
  <c r="P663" i="6"/>
  <c r="R663" i="6" s="1"/>
  <c r="M664" i="6"/>
  <c r="N664" i="6"/>
  <c r="P664" i="6"/>
  <c r="M665" i="6"/>
  <c r="N665" i="6"/>
  <c r="P665" i="6"/>
  <c r="M666" i="6"/>
  <c r="N666" i="6"/>
  <c r="P666" i="6"/>
  <c r="N667" i="6"/>
  <c r="P667" i="6"/>
  <c r="R667" i="6" s="1"/>
  <c r="P668" i="6"/>
  <c r="R668" i="6" s="1"/>
  <c r="Q668" i="6"/>
  <c r="P669" i="6"/>
  <c r="P670" i="6"/>
  <c r="R670" i="6" s="1"/>
  <c r="P671" i="6"/>
  <c r="Q671" i="6" s="1"/>
  <c r="P672" i="6"/>
  <c r="Q672" i="6" s="1"/>
  <c r="P673" i="6"/>
  <c r="P674" i="6"/>
  <c r="R674" i="6" s="1"/>
  <c r="M675" i="6"/>
  <c r="N675" i="6"/>
  <c r="P675" i="6"/>
  <c r="Q675" i="6" s="1"/>
  <c r="M676" i="6"/>
  <c r="N676" i="6"/>
  <c r="P676" i="6"/>
  <c r="Q676" i="6" s="1"/>
  <c r="R140" i="6" l="1"/>
  <c r="R143" i="6"/>
  <c r="Q175" i="6"/>
  <c r="Q174" i="6"/>
  <c r="O144" i="6"/>
  <c r="O550" i="6"/>
  <c r="Q623" i="6"/>
  <c r="R580" i="6"/>
  <c r="R577" i="6"/>
  <c r="Q168" i="6"/>
  <c r="O663" i="6"/>
  <c r="O662" i="6"/>
  <c r="R346" i="6"/>
  <c r="Q306" i="6"/>
  <c r="R240" i="6"/>
  <c r="R115" i="6"/>
  <c r="Q114" i="6"/>
  <c r="R62" i="6"/>
  <c r="O194" i="6"/>
  <c r="Q148" i="6"/>
  <c r="Q112" i="6"/>
  <c r="Q64" i="6"/>
  <c r="O53" i="6"/>
  <c r="Q50" i="6"/>
  <c r="O46" i="6"/>
  <c r="O38" i="6"/>
  <c r="Q30" i="6"/>
  <c r="R29" i="6"/>
  <c r="Q603" i="6"/>
  <c r="O537" i="6"/>
  <c r="O531" i="6"/>
  <c r="R529" i="6"/>
  <c r="Q525" i="6"/>
  <c r="Q505" i="6"/>
  <c r="Q504" i="6"/>
  <c r="Q501" i="6"/>
  <c r="Q398" i="6"/>
  <c r="R394" i="6"/>
  <c r="O347" i="6"/>
  <c r="Q338" i="6"/>
  <c r="Q333" i="6"/>
  <c r="Q332" i="6"/>
  <c r="Q302" i="6"/>
  <c r="Q293" i="6"/>
  <c r="Q292" i="6"/>
  <c r="O185" i="6"/>
  <c r="O650" i="6"/>
  <c r="Q625" i="6"/>
  <c r="Q609" i="6"/>
  <c r="O598" i="6"/>
  <c r="O586" i="6"/>
  <c r="R572" i="6"/>
  <c r="Q564" i="6"/>
  <c r="O387" i="6"/>
  <c r="O315" i="6"/>
  <c r="O313" i="6"/>
  <c r="O239" i="6"/>
  <c r="Q237" i="6"/>
  <c r="Q233" i="6"/>
  <c r="O78" i="6"/>
  <c r="O72" i="6"/>
  <c r="O62" i="6"/>
  <c r="R53" i="6"/>
  <c r="Q52" i="6"/>
  <c r="Q42" i="6"/>
  <c r="O37" i="6"/>
  <c r="O31" i="6"/>
  <c r="O30" i="6"/>
  <c r="Q656" i="6"/>
  <c r="R656" i="6"/>
  <c r="R644" i="6"/>
  <c r="Q644" i="6"/>
  <c r="Q544" i="6"/>
  <c r="R544" i="6"/>
  <c r="Q664" i="6"/>
  <c r="R664" i="6"/>
  <c r="R643" i="6"/>
  <c r="Q643" i="6"/>
  <c r="R628" i="6"/>
  <c r="Q628" i="6"/>
  <c r="R559" i="6"/>
  <c r="Q559" i="6"/>
  <c r="R547" i="6"/>
  <c r="Q547" i="6"/>
  <c r="R523" i="6"/>
  <c r="Q523" i="6"/>
  <c r="Q665" i="6"/>
  <c r="R665" i="6"/>
  <c r="R645" i="6"/>
  <c r="R608" i="6"/>
  <c r="Q608" i="6"/>
  <c r="R548" i="6"/>
  <c r="Q548" i="6"/>
  <c r="Q524" i="6"/>
  <c r="R524" i="6"/>
  <c r="Q453" i="6"/>
  <c r="R453" i="6"/>
  <c r="Q406" i="6"/>
  <c r="R406" i="6"/>
  <c r="Q309" i="6"/>
  <c r="R309" i="6"/>
  <c r="R629" i="6"/>
  <c r="Q629" i="6"/>
  <c r="Q556" i="6"/>
  <c r="R556" i="6"/>
  <c r="R549" i="6"/>
  <c r="Q549" i="6"/>
  <c r="Q541" i="6"/>
  <c r="R541" i="6"/>
  <c r="Q370" i="6"/>
  <c r="R370" i="6"/>
  <c r="R320" i="6"/>
  <c r="Q320" i="6"/>
  <c r="Q560" i="6"/>
  <c r="O538" i="6"/>
  <c r="Q528" i="6"/>
  <c r="O525" i="6"/>
  <c r="O524" i="6"/>
  <c r="O505" i="6"/>
  <c r="R456" i="6"/>
  <c r="R452" i="6"/>
  <c r="Q448" i="6"/>
  <c r="Q410" i="6"/>
  <c r="R374" i="6"/>
  <c r="R358" i="6"/>
  <c r="R357" i="6"/>
  <c r="O334" i="6"/>
  <c r="R245" i="6"/>
  <c r="R232" i="6"/>
  <c r="O218" i="6"/>
  <c r="R201" i="6"/>
  <c r="Q200" i="6"/>
  <c r="Q199" i="6"/>
  <c r="O193" i="6"/>
  <c r="R147" i="6"/>
  <c r="O102" i="6"/>
  <c r="R78" i="6"/>
  <c r="Q38" i="6"/>
  <c r="O638" i="6"/>
  <c r="O530" i="6"/>
  <c r="O457" i="6"/>
  <c r="O394" i="6"/>
  <c r="O375" i="6"/>
  <c r="O346" i="6"/>
  <c r="Q282" i="6"/>
  <c r="R281" i="6"/>
  <c r="O267" i="6"/>
  <c r="Q253" i="6"/>
  <c r="R248" i="6"/>
  <c r="R217" i="6"/>
  <c r="R192" i="6"/>
  <c r="Q158" i="6"/>
  <c r="R102" i="6"/>
  <c r="Q40" i="6"/>
  <c r="O25" i="6"/>
  <c r="Q18" i="6"/>
  <c r="O359" i="6"/>
  <c r="O552" i="6"/>
  <c r="O176" i="6"/>
  <c r="O578" i="6"/>
  <c r="O458" i="6"/>
  <c r="O241" i="6"/>
  <c r="O221" i="6"/>
  <c r="O507" i="6"/>
  <c r="O186" i="6"/>
  <c r="R520" i="6"/>
  <c r="R402" i="6"/>
  <c r="R382" i="6"/>
  <c r="R273" i="6"/>
  <c r="O64" i="6"/>
  <c r="O26" i="6"/>
  <c r="R675" i="6"/>
  <c r="Q674" i="6"/>
  <c r="R658" i="6"/>
  <c r="O652" i="6"/>
  <c r="O651" i="6"/>
  <c r="O649" i="6"/>
  <c r="Q641" i="6"/>
  <c r="R621" i="6"/>
  <c r="R616" i="6"/>
  <c r="R596" i="6"/>
  <c r="O585" i="6"/>
  <c r="Q579" i="6"/>
  <c r="R568" i="6"/>
  <c r="Q537" i="6"/>
  <c r="Q536" i="6"/>
  <c r="Q535" i="6"/>
  <c r="O529" i="6"/>
  <c r="O518" i="6"/>
  <c r="O517" i="6"/>
  <c r="O506" i="6"/>
  <c r="R496" i="6"/>
  <c r="O482" i="6"/>
  <c r="R477" i="6"/>
  <c r="R476" i="6"/>
  <c r="O471" i="6"/>
  <c r="Q469" i="6"/>
  <c r="Q468" i="6"/>
  <c r="O446" i="6"/>
  <c r="O445" i="6"/>
  <c r="O437" i="6"/>
  <c r="R433" i="6"/>
  <c r="R429" i="6"/>
  <c r="R421" i="6"/>
  <c r="R420" i="6"/>
  <c r="Q390" i="6"/>
  <c r="Q381" i="6"/>
  <c r="Q380" i="6"/>
  <c r="Q376" i="6"/>
  <c r="O355" i="6"/>
  <c r="Q345" i="6"/>
  <c r="Q344" i="6"/>
  <c r="Q336" i="6"/>
  <c r="R330" i="6"/>
  <c r="O323" i="6"/>
  <c r="R318" i="6"/>
  <c r="O301" i="6"/>
  <c r="O294" i="6"/>
  <c r="O282" i="6"/>
  <c r="O281" i="6"/>
  <c r="Q277" i="6"/>
  <c r="Q272" i="6"/>
  <c r="O266" i="6"/>
  <c r="Q259" i="6"/>
  <c r="Q247" i="6"/>
  <c r="O238" i="6"/>
  <c r="O228" i="6"/>
  <c r="R224" i="6"/>
  <c r="Q216" i="6"/>
  <c r="O212" i="6"/>
  <c r="Q207" i="6"/>
  <c r="Q203" i="6"/>
  <c r="R196" i="6"/>
  <c r="R181" i="6"/>
  <c r="O173" i="6"/>
  <c r="O152" i="6"/>
  <c r="Q107" i="6"/>
  <c r="Q100" i="6"/>
  <c r="R99" i="6"/>
  <c r="Q84" i="6"/>
  <c r="Q80" i="6"/>
  <c r="R652" i="6"/>
  <c r="R649" i="6"/>
  <c r="R489" i="6"/>
  <c r="R350" i="6"/>
  <c r="R286" i="6"/>
  <c r="R228" i="6"/>
  <c r="R205" i="6"/>
  <c r="R180" i="6"/>
  <c r="R164" i="6"/>
  <c r="R70" i="6"/>
  <c r="R58" i="6"/>
  <c r="Q26" i="6"/>
  <c r="O676" i="6"/>
  <c r="R671" i="6"/>
  <c r="Q670" i="6"/>
  <c r="O665" i="6"/>
  <c r="O597" i="6"/>
  <c r="R593" i="6"/>
  <c r="Q592" i="6"/>
  <c r="Q591" i="6"/>
  <c r="R584" i="6"/>
  <c r="O574" i="6"/>
  <c r="O561" i="6"/>
  <c r="O549" i="6"/>
  <c r="O536" i="6"/>
  <c r="O526" i="6"/>
  <c r="O522" i="6"/>
  <c r="R517" i="6"/>
  <c r="R512" i="6"/>
  <c r="Q493" i="6"/>
  <c r="Q488" i="6"/>
  <c r="Q487" i="6"/>
  <c r="R481" i="6"/>
  <c r="R480" i="6"/>
  <c r="R472" i="6"/>
  <c r="Q465" i="6"/>
  <c r="R445" i="6"/>
  <c r="R436" i="6"/>
  <c r="O422" i="6"/>
  <c r="O421" i="6"/>
  <c r="R373" i="6"/>
  <c r="O357" i="6"/>
  <c r="R354" i="6"/>
  <c r="O345" i="6"/>
  <c r="O324" i="6"/>
  <c r="R322" i="6"/>
  <c r="Q308" i="6"/>
  <c r="Q300" i="6"/>
  <c r="Q284" i="6"/>
  <c r="Q280" i="6"/>
  <c r="O274" i="6"/>
  <c r="O273" i="6"/>
  <c r="R265" i="6"/>
  <c r="Q227" i="6"/>
  <c r="O219" i="6"/>
  <c r="Q213" i="6"/>
  <c r="Q211" i="6"/>
  <c r="R188" i="6"/>
  <c r="O182" i="6"/>
  <c r="Q179" i="6"/>
  <c r="R172" i="6"/>
  <c r="R165" i="6"/>
  <c r="R161" i="6"/>
  <c r="R151" i="6"/>
  <c r="Q150" i="6"/>
  <c r="R132" i="6"/>
  <c r="Q128" i="6"/>
  <c r="R123" i="6"/>
  <c r="Q122" i="6"/>
  <c r="R119" i="6"/>
  <c r="Q118" i="6"/>
  <c r="O81" i="6"/>
  <c r="Q72" i="6"/>
  <c r="R69" i="6"/>
  <c r="Q68" i="6"/>
  <c r="O675" i="6"/>
  <c r="Q661" i="6"/>
  <c r="Q657" i="6"/>
  <c r="Q647" i="6"/>
  <c r="Q637" i="6"/>
  <c r="Q636" i="6"/>
  <c r="Q633" i="6"/>
  <c r="O623" i="6"/>
  <c r="Q620" i="6"/>
  <c r="Q619" i="6"/>
  <c r="Q612" i="6"/>
  <c r="Q611" i="6"/>
  <c r="Q605" i="6"/>
  <c r="Q597" i="6"/>
  <c r="Q585" i="6"/>
  <c r="Q573" i="6"/>
  <c r="O532" i="6"/>
  <c r="O516" i="6"/>
  <c r="Q511" i="6"/>
  <c r="O499" i="6"/>
  <c r="Q495" i="6"/>
  <c r="R516" i="6"/>
  <c r="O653" i="6"/>
  <c r="O640" i="6"/>
  <c r="O639" i="6"/>
  <c r="Q631" i="6"/>
  <c r="Q615" i="6"/>
  <c r="O599" i="6"/>
  <c r="Q595" i="6"/>
  <c r="Q583" i="6"/>
  <c r="O576" i="6"/>
  <c r="Q571" i="6"/>
  <c r="Q567" i="6"/>
  <c r="Q555" i="6"/>
  <c r="Q543" i="6"/>
  <c r="Q531" i="6"/>
  <c r="O523" i="6"/>
  <c r="O519" i="6"/>
  <c r="O498" i="6"/>
  <c r="O496" i="6"/>
  <c r="O484" i="6"/>
  <c r="R471" i="6"/>
  <c r="Q471" i="6"/>
  <c r="R244" i="6"/>
  <c r="Q86" i="6"/>
  <c r="O71" i="6"/>
  <c r="R66" i="6"/>
  <c r="O63" i="6"/>
  <c r="R61" i="6"/>
  <c r="Q60" i="6"/>
  <c r="R46" i="6"/>
  <c r="R34" i="6"/>
  <c r="O32" i="6"/>
  <c r="O27" i="6"/>
  <c r="Q24" i="6"/>
  <c r="Q20" i="6"/>
  <c r="O483" i="6"/>
  <c r="O472" i="6"/>
  <c r="O395" i="6"/>
  <c r="O393" i="6"/>
  <c r="Q364" i="6"/>
  <c r="Q324" i="6"/>
  <c r="Q304" i="6"/>
  <c r="Q288" i="6"/>
  <c r="O272" i="6"/>
  <c r="Q264" i="6"/>
  <c r="Q251" i="6"/>
  <c r="O240" i="6"/>
  <c r="O227" i="6"/>
  <c r="Q223" i="6"/>
  <c r="O220" i="6"/>
  <c r="Q191" i="6"/>
  <c r="Q187" i="6"/>
  <c r="R185" i="6"/>
  <c r="O184" i="6"/>
  <c r="Q154" i="6"/>
  <c r="R139" i="6"/>
  <c r="Q138" i="6"/>
  <c r="R135" i="6"/>
  <c r="Q134" i="6"/>
  <c r="Q130" i="6"/>
  <c r="R127" i="6"/>
  <c r="Q126" i="6"/>
  <c r="O105" i="6"/>
  <c r="O80" i="6"/>
  <c r="O73" i="6"/>
  <c r="O70" i="6"/>
  <c r="R49" i="6"/>
  <c r="O44" i="6"/>
  <c r="O39" i="6"/>
  <c r="R37" i="6"/>
  <c r="Q36" i="6"/>
  <c r="Q32" i="6"/>
  <c r="R444" i="6"/>
  <c r="R428" i="6"/>
  <c r="R416" i="6"/>
  <c r="R366" i="6"/>
  <c r="R362" i="6"/>
  <c r="R341" i="6"/>
  <c r="R329" i="6"/>
  <c r="R326" i="6"/>
  <c r="R310" i="6"/>
  <c r="R298" i="6"/>
  <c r="R278" i="6"/>
  <c r="R270" i="6"/>
  <c r="R266" i="6"/>
  <c r="R262" i="6"/>
  <c r="R261" i="6"/>
  <c r="R257" i="6"/>
  <c r="R225" i="6"/>
  <c r="R220" i="6"/>
  <c r="R209" i="6"/>
  <c r="R208" i="6"/>
  <c r="R184" i="6"/>
  <c r="R160" i="6"/>
  <c r="R108" i="6"/>
  <c r="O61" i="6"/>
  <c r="R45" i="6"/>
  <c r="Q44" i="6"/>
  <c r="R457" i="6"/>
  <c r="O456" i="6"/>
  <c r="O413" i="6"/>
  <c r="O388" i="6"/>
  <c r="O386" i="6"/>
  <c r="O376" i="6"/>
  <c r="O358" i="6"/>
  <c r="Q340" i="6"/>
  <c r="O325" i="6"/>
  <c r="Q296" i="6"/>
  <c r="O291" i="6"/>
  <c r="O265" i="6"/>
  <c r="Q239" i="6"/>
  <c r="Q235" i="6"/>
  <c r="Q219" i="6"/>
  <c r="O211" i="6"/>
  <c r="R193" i="6"/>
  <c r="O174" i="6"/>
  <c r="O120" i="6"/>
  <c r="R111" i="6"/>
  <c r="Q110" i="6"/>
  <c r="Q104" i="6"/>
  <c r="R97" i="6"/>
  <c r="Q96" i="6"/>
  <c r="Q92" i="6"/>
  <c r="O90" i="6"/>
  <c r="Q88" i="6"/>
  <c r="R87" i="6"/>
  <c r="O79" i="6"/>
  <c r="R77" i="6"/>
  <c r="Q76" i="6"/>
  <c r="R25" i="6"/>
  <c r="O24" i="6"/>
  <c r="Q22" i="6"/>
  <c r="R21" i="6"/>
  <c r="O666" i="6"/>
  <c r="O587" i="6"/>
  <c r="O575" i="6"/>
  <c r="O473" i="6"/>
  <c r="O54" i="6"/>
  <c r="O515" i="6"/>
  <c r="O283" i="6"/>
  <c r="O229" i="6"/>
  <c r="O142" i="6"/>
  <c r="O303" i="6"/>
  <c r="O551" i="6"/>
  <c r="O385" i="6"/>
  <c r="O356" i="6"/>
  <c r="O316" i="6"/>
  <c r="O292" i="6"/>
  <c r="O613" i="6"/>
  <c r="O539" i="6"/>
  <c r="O497" i="6"/>
  <c r="O103" i="6"/>
  <c r="O65" i="6"/>
  <c r="O45" i="6"/>
  <c r="O35" i="6"/>
  <c r="O314" i="6"/>
  <c r="O285" i="6"/>
  <c r="O116" i="6"/>
  <c r="O106" i="6"/>
  <c r="O47" i="6"/>
  <c r="O36" i="6"/>
  <c r="O33" i="6"/>
  <c r="O23" i="6"/>
  <c r="O624" i="6"/>
  <c r="O447" i="6"/>
  <c r="O439" i="6"/>
  <c r="O423" i="6"/>
  <c r="O415" i="6"/>
  <c r="O397" i="6"/>
  <c r="O195" i="6"/>
  <c r="O183" i="6"/>
  <c r="R17" i="6"/>
  <c r="R650" i="6"/>
  <c r="Q650" i="6"/>
  <c r="R673" i="6"/>
  <c r="Q673" i="6"/>
  <c r="R635" i="6"/>
  <c r="Q635" i="6"/>
  <c r="R622" i="6"/>
  <c r="Q622" i="6"/>
  <c r="R618" i="6"/>
  <c r="Q618" i="6"/>
  <c r="R651" i="6"/>
  <c r="Q651" i="6"/>
  <c r="R634" i="6"/>
  <c r="Q634" i="6"/>
  <c r="R669" i="6"/>
  <c r="Q669" i="6"/>
  <c r="Q450" i="6"/>
  <c r="R450" i="6"/>
  <c r="O664" i="6"/>
  <c r="R638" i="6"/>
  <c r="Q638" i="6"/>
  <c r="R574" i="6"/>
  <c r="Q574" i="6"/>
  <c r="R554" i="6"/>
  <c r="Q554" i="6"/>
  <c r="R550" i="6"/>
  <c r="Q550" i="6"/>
  <c r="R530" i="6"/>
  <c r="Q530" i="6"/>
  <c r="R522" i="6"/>
  <c r="Q522" i="6"/>
  <c r="R506" i="6"/>
  <c r="Q506" i="6"/>
  <c r="R502" i="6"/>
  <c r="Q502" i="6"/>
  <c r="R498" i="6"/>
  <c r="Q498" i="6"/>
  <c r="R482" i="6"/>
  <c r="Q482" i="6"/>
  <c r="R478" i="6"/>
  <c r="Q478" i="6"/>
  <c r="R474" i="6"/>
  <c r="Q474" i="6"/>
  <c r="R459" i="6"/>
  <c r="Q459" i="6"/>
  <c r="Q454" i="6"/>
  <c r="R454" i="6"/>
  <c r="R676" i="6"/>
  <c r="R672" i="6"/>
  <c r="R646" i="6"/>
  <c r="Q646" i="6"/>
  <c r="R630" i="6"/>
  <c r="Q630" i="6"/>
  <c r="R626" i="6"/>
  <c r="Q626" i="6"/>
  <c r="R598" i="6"/>
  <c r="Q598" i="6"/>
  <c r="R594" i="6"/>
  <c r="Q594" i="6"/>
  <c r="R590" i="6"/>
  <c r="Q590" i="6"/>
  <c r="R586" i="6"/>
  <c r="Q586" i="6"/>
  <c r="R566" i="6"/>
  <c r="Q566" i="6"/>
  <c r="R562" i="6"/>
  <c r="Q562" i="6"/>
  <c r="R558" i="6"/>
  <c r="Q558" i="6"/>
  <c r="R542" i="6"/>
  <c r="Q542" i="6"/>
  <c r="R538" i="6"/>
  <c r="Q538" i="6"/>
  <c r="R534" i="6"/>
  <c r="Q534" i="6"/>
  <c r="R518" i="6"/>
  <c r="Q518" i="6"/>
  <c r="R514" i="6"/>
  <c r="Q514" i="6"/>
  <c r="R510" i="6"/>
  <c r="Q510" i="6"/>
  <c r="R494" i="6"/>
  <c r="Q494" i="6"/>
  <c r="R490" i="6"/>
  <c r="Q490" i="6"/>
  <c r="R470" i="6"/>
  <c r="Q470" i="6"/>
  <c r="R466" i="6"/>
  <c r="Q466" i="6"/>
  <c r="R462" i="6"/>
  <c r="Q462" i="6"/>
  <c r="R451" i="6"/>
  <c r="Q451" i="6"/>
  <c r="Q446" i="6"/>
  <c r="R446" i="6"/>
  <c r="Q667" i="6"/>
  <c r="Q663" i="6"/>
  <c r="Q659" i="6"/>
  <c r="Q655" i="6"/>
  <c r="Q639" i="6"/>
  <c r="R610" i="6"/>
  <c r="Q610" i="6"/>
  <c r="R606" i="6"/>
  <c r="Q606" i="6"/>
  <c r="R602" i="6"/>
  <c r="Q602" i="6"/>
  <c r="Q442" i="6"/>
  <c r="R442" i="6"/>
  <c r="R404" i="6"/>
  <c r="Q404" i="6"/>
  <c r="Q427" i="6"/>
  <c r="R427" i="6"/>
  <c r="R400" i="6"/>
  <c r="Q400" i="6"/>
  <c r="R384" i="6"/>
  <c r="Q384" i="6"/>
  <c r="R368" i="6"/>
  <c r="Q368" i="6"/>
  <c r="Q435" i="6"/>
  <c r="R435" i="6"/>
  <c r="R392" i="6"/>
  <c r="Q392" i="6"/>
  <c r="R351" i="6"/>
  <c r="Q351" i="6"/>
  <c r="R343" i="6"/>
  <c r="Q343" i="6"/>
  <c r="R287" i="6"/>
  <c r="Q287" i="6"/>
  <c r="R279" i="6"/>
  <c r="Q279" i="6"/>
  <c r="R275" i="6"/>
  <c r="Q275" i="6"/>
  <c r="R271" i="6"/>
  <c r="Q271" i="6"/>
  <c r="R412" i="6"/>
  <c r="Q412" i="6"/>
  <c r="R396" i="6"/>
  <c r="Q396" i="6"/>
  <c r="R367" i="6"/>
  <c r="Q367" i="6"/>
  <c r="R352" i="6"/>
  <c r="Q352" i="6"/>
  <c r="R438" i="6"/>
  <c r="R434" i="6"/>
  <c r="R430" i="6"/>
  <c r="R426" i="6"/>
  <c r="R422" i="6"/>
  <c r="R418" i="6"/>
  <c r="R414" i="6"/>
  <c r="R411" i="6"/>
  <c r="R409" i="6"/>
  <c r="R405" i="6"/>
  <c r="R399" i="6"/>
  <c r="R393" i="6"/>
  <c r="R363" i="6"/>
  <c r="Q363" i="6"/>
  <c r="Q360" i="6"/>
  <c r="R319" i="6"/>
  <c r="Q319" i="6"/>
  <c r="R315" i="6"/>
  <c r="Q315" i="6"/>
  <c r="Q141" i="6"/>
  <c r="R141" i="6"/>
  <c r="Q125" i="6"/>
  <c r="R125" i="6"/>
  <c r="R375" i="6"/>
  <c r="Q375" i="6"/>
  <c r="Q372" i="6"/>
  <c r="Q356" i="6"/>
  <c r="R339" i="6"/>
  <c r="Q339" i="6"/>
  <c r="R331" i="6"/>
  <c r="Q331" i="6"/>
  <c r="R323" i="6"/>
  <c r="Q323" i="6"/>
  <c r="R291" i="6"/>
  <c r="Q291" i="6"/>
  <c r="R255" i="6"/>
  <c r="Q255" i="6"/>
  <c r="Q198" i="6"/>
  <c r="R198" i="6"/>
  <c r="Q163" i="6"/>
  <c r="R163" i="6"/>
  <c r="R387" i="6"/>
  <c r="Q387" i="6"/>
  <c r="O377" i="6"/>
  <c r="R355" i="6"/>
  <c r="Q355" i="6"/>
  <c r="R299" i="6"/>
  <c r="Q299" i="6"/>
  <c r="R263" i="6"/>
  <c r="Q263" i="6"/>
  <c r="R256" i="6"/>
  <c r="Q256" i="6"/>
  <c r="Q234" i="6"/>
  <c r="R234" i="6"/>
  <c r="Q230" i="6"/>
  <c r="R230" i="6"/>
  <c r="Q194" i="6"/>
  <c r="R194" i="6"/>
  <c r="Q182" i="6"/>
  <c r="R182" i="6"/>
  <c r="R31" i="6"/>
  <c r="Q31" i="6"/>
  <c r="Q250" i="6"/>
  <c r="R250" i="6"/>
  <c r="Q246" i="6"/>
  <c r="R246" i="6"/>
  <c r="Q242" i="6"/>
  <c r="R242" i="6"/>
  <c r="Q238" i="6"/>
  <c r="R238" i="6"/>
  <c r="Q202" i="6"/>
  <c r="R202" i="6"/>
  <c r="Q173" i="6"/>
  <c r="R173" i="6"/>
  <c r="Q169" i="6"/>
  <c r="R169" i="6"/>
  <c r="Q157" i="6"/>
  <c r="R157" i="6"/>
  <c r="Q113" i="6"/>
  <c r="R113" i="6"/>
  <c r="Q226" i="6"/>
  <c r="R226" i="6"/>
  <c r="Q218" i="6"/>
  <c r="R218" i="6"/>
  <c r="Q214" i="6"/>
  <c r="R214" i="6"/>
  <c r="Q210" i="6"/>
  <c r="R210" i="6"/>
  <c r="Q206" i="6"/>
  <c r="R206" i="6"/>
  <c r="Q190" i="6"/>
  <c r="R190" i="6"/>
  <c r="Q178" i="6"/>
  <c r="R178" i="6"/>
  <c r="Q149" i="6"/>
  <c r="R149" i="6"/>
  <c r="Q133" i="6"/>
  <c r="R133" i="6"/>
  <c r="Q117" i="6"/>
  <c r="R117" i="6"/>
  <c r="Q105" i="6"/>
  <c r="R105" i="6"/>
  <c r="Q101" i="6"/>
  <c r="R101" i="6"/>
  <c r="R23" i="6"/>
  <c r="Q23" i="6"/>
  <c r="O175" i="6"/>
  <c r="R167" i="6"/>
  <c r="Q153" i="6"/>
  <c r="R153" i="6"/>
  <c r="Q145" i="6"/>
  <c r="R145" i="6"/>
  <c r="Q137" i="6"/>
  <c r="R137" i="6"/>
  <c r="Q121" i="6"/>
  <c r="R121" i="6"/>
  <c r="Q109" i="6"/>
  <c r="R109" i="6"/>
  <c r="Q91" i="6"/>
  <c r="R91" i="6"/>
  <c r="R79" i="6"/>
  <c r="Q79" i="6"/>
  <c r="R71" i="6"/>
  <c r="Q71" i="6"/>
  <c r="R63" i="6"/>
  <c r="Q63" i="6"/>
  <c r="R95" i="6"/>
  <c r="R89" i="6"/>
  <c r="R55" i="6"/>
  <c r="Q55" i="6"/>
  <c r="R51" i="6"/>
  <c r="Q51" i="6"/>
  <c r="R43" i="6"/>
  <c r="Q43" i="6"/>
  <c r="R35" i="6"/>
  <c r="Q35" i="6"/>
  <c r="R19" i="6"/>
  <c r="Q19" i="6"/>
  <c r="R67" i="6"/>
  <c r="Q67" i="6"/>
  <c r="R59" i="6"/>
  <c r="Q59" i="6"/>
  <c r="L15" i="6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M15" i="6"/>
  <c r="N15" i="6"/>
  <c r="P15" i="6"/>
  <c r="N16" i="6"/>
  <c r="P16" i="6"/>
  <c r="M14" i="6"/>
  <c r="N14" i="6"/>
  <c r="P14" i="6"/>
  <c r="R14" i="6" s="1"/>
  <c r="L28" i="6" l="1"/>
  <c r="L29" i="6" s="1"/>
  <c r="L30" i="6" s="1"/>
  <c r="L31" i="6" s="1"/>
  <c r="L32" i="6" s="1"/>
  <c r="L33" i="6" s="1"/>
  <c r="M405" i="6"/>
  <c r="O405" i="6" s="1"/>
  <c r="M56" i="6"/>
  <c r="O15" i="6"/>
  <c r="O14" i="6"/>
  <c r="Q14" i="6"/>
  <c r="Q16" i="6"/>
  <c r="R16" i="6"/>
  <c r="O56" i="6" l="1"/>
  <c r="L34" i="6"/>
  <c r="L35" i="6" l="1"/>
  <c r="L36" i="6" l="1"/>
  <c r="L37" i="6" l="1"/>
  <c r="J8" i="1"/>
  <c r="L38" i="6" l="1"/>
  <c r="L39" i="6" l="1"/>
  <c r="A7" i="11"/>
  <c r="C2" i="8"/>
  <c r="C3" i="8"/>
  <c r="C5" i="8"/>
  <c r="L40" i="6" l="1"/>
  <c r="A5" i="11"/>
  <c r="F44" i="11"/>
  <c r="E44" i="11"/>
  <c r="D44" i="11"/>
  <c r="C44" i="11"/>
  <c r="F40" i="11"/>
  <c r="E40" i="11"/>
  <c r="D40" i="11"/>
  <c r="C40" i="11"/>
  <c r="F33" i="11"/>
  <c r="E33" i="11"/>
  <c r="D33" i="11"/>
  <c r="C33" i="11"/>
  <c r="F21" i="11"/>
  <c r="E21" i="11"/>
  <c r="D21" i="11"/>
  <c r="C21" i="11"/>
  <c r="F46" i="11" l="1"/>
  <c r="L41" i="6"/>
  <c r="D46" i="11"/>
  <c r="E46" i="11"/>
  <c r="C46" i="11"/>
  <c r="D23" i="7"/>
  <c r="L42" i="6" l="1"/>
  <c r="L43" i="6" l="1"/>
  <c r="L44" i="6" s="1"/>
  <c r="L45" i="6" s="1"/>
  <c r="L46" i="6" s="1"/>
  <c r="L47" i="6" s="1"/>
  <c r="L48" i="6" l="1"/>
  <c r="L49" i="6" l="1"/>
  <c r="L50" i="6" s="1"/>
  <c r="L51" i="6" s="1"/>
  <c r="L52" i="6" s="1"/>
  <c r="L53" i="6" s="1"/>
  <c r="L54" i="6" s="1"/>
  <c r="L55" i="6" s="1"/>
  <c r="L56" i="6" s="1"/>
  <c r="L57" i="6" s="1"/>
  <c r="L58" i="6" l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l="1"/>
  <c r="L75" i="6" l="1"/>
  <c r="L76" i="6" l="1"/>
  <c r="L77" i="6" l="1"/>
  <c r="P270" i="2"/>
  <c r="R270" i="2" s="1"/>
  <c r="P271" i="2"/>
  <c r="R271" i="2" s="1"/>
  <c r="P272" i="2"/>
  <c r="Q272" i="2" s="1"/>
  <c r="M273" i="2"/>
  <c r="N273" i="2"/>
  <c r="P273" i="2"/>
  <c r="M274" i="2"/>
  <c r="N274" i="2"/>
  <c r="P274" i="2"/>
  <c r="P275" i="2"/>
  <c r="Q275" i="2" s="1"/>
  <c r="P276" i="2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L78" i="6" l="1"/>
  <c r="K109" i="3"/>
  <c r="K101" i="3"/>
  <c r="K93" i="3"/>
  <c r="K100" i="3"/>
  <c r="K107" i="3"/>
  <c r="K114" i="3"/>
  <c r="K106" i="3"/>
  <c r="K98" i="3"/>
  <c r="K108" i="3"/>
  <c r="K105" i="3"/>
  <c r="K97" i="3"/>
  <c r="K112" i="3"/>
  <c r="K104" i="3"/>
  <c r="K96" i="3"/>
  <c r="K99" i="3"/>
  <c r="K113" i="3"/>
  <c r="K111" i="3"/>
  <c r="K103" i="3"/>
  <c r="K95" i="3"/>
  <c r="K110" i="3"/>
  <c r="K102" i="3"/>
  <c r="K94" i="3"/>
  <c r="R275" i="2"/>
  <c r="O274" i="2"/>
  <c r="Q271" i="2"/>
  <c r="Q270" i="2"/>
  <c r="O273" i="2"/>
  <c r="R272" i="2"/>
  <c r="L79" i="6" l="1"/>
  <c r="Q28" i="6"/>
  <c r="AB14" i="2"/>
  <c r="AB13" i="2"/>
  <c r="L80" i="6" l="1"/>
  <c r="L81" i="6" s="1"/>
  <c r="L82" i="6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1" i="3"/>
  <c r="H92" i="3"/>
  <c r="A5" i="7"/>
  <c r="L83" i="6" l="1"/>
  <c r="L84" i="6" s="1"/>
  <c r="L85" i="6" s="1"/>
  <c r="L86" i="6" s="1"/>
  <c r="L87" i="6" s="1"/>
  <c r="L88" i="6" s="1"/>
  <c r="L89" i="6" s="1"/>
  <c r="L90" i="6" s="1"/>
  <c r="K84" i="3"/>
  <c r="K60" i="3"/>
  <c r="K44" i="3"/>
  <c r="K28" i="3"/>
  <c r="K83" i="3"/>
  <c r="K67" i="3"/>
  <c r="K43" i="3"/>
  <c r="K91" i="3"/>
  <c r="K82" i="3"/>
  <c r="K74" i="3"/>
  <c r="K66" i="3"/>
  <c r="K58" i="3"/>
  <c r="K50" i="3"/>
  <c r="K42" i="3"/>
  <c r="K34" i="3"/>
  <c r="K26" i="3"/>
  <c r="K18" i="3"/>
  <c r="K81" i="3"/>
  <c r="K41" i="3"/>
  <c r="K80" i="3"/>
  <c r="K40" i="3"/>
  <c r="K16" i="3"/>
  <c r="K57" i="3"/>
  <c r="K25" i="3"/>
  <c r="K72" i="3"/>
  <c r="K48" i="3"/>
  <c r="K87" i="3"/>
  <c r="K63" i="3"/>
  <c r="K47" i="3"/>
  <c r="K39" i="3"/>
  <c r="K31" i="3"/>
  <c r="K23" i="3"/>
  <c r="K15" i="3"/>
  <c r="K65" i="3"/>
  <c r="K33" i="3"/>
  <c r="K88" i="3"/>
  <c r="K64" i="3"/>
  <c r="K24" i="3"/>
  <c r="K79" i="3"/>
  <c r="K55" i="3"/>
  <c r="K86" i="3"/>
  <c r="K78" i="3"/>
  <c r="K70" i="3"/>
  <c r="K62" i="3"/>
  <c r="K54" i="3"/>
  <c r="K46" i="3"/>
  <c r="K38" i="3"/>
  <c r="K30" i="3"/>
  <c r="K22" i="3"/>
  <c r="K14" i="3"/>
  <c r="K89" i="3"/>
  <c r="K49" i="3"/>
  <c r="K17" i="3"/>
  <c r="K56" i="3"/>
  <c r="K32" i="3"/>
  <c r="K71" i="3"/>
  <c r="K85" i="3"/>
  <c r="K77" i="3"/>
  <c r="K69" i="3"/>
  <c r="K61" i="3"/>
  <c r="K53" i="3"/>
  <c r="K45" i="3"/>
  <c r="K37" i="3"/>
  <c r="K29" i="3"/>
  <c r="K21" i="3"/>
  <c r="K13" i="3"/>
  <c r="K73" i="3"/>
  <c r="K76" i="3"/>
  <c r="K52" i="3"/>
  <c r="K20" i="3"/>
  <c r="K12" i="3"/>
  <c r="K68" i="3"/>
  <c r="K36" i="3"/>
  <c r="K92" i="3"/>
  <c r="K75" i="3"/>
  <c r="K59" i="3"/>
  <c r="K51" i="3"/>
  <c r="K35" i="3"/>
  <c r="K27" i="3"/>
  <c r="K19" i="3"/>
  <c r="K11" i="3"/>
  <c r="L14" i="2"/>
  <c r="L15" i="2" s="1"/>
  <c r="L16" i="2" s="1"/>
  <c r="L17" i="2" s="1"/>
  <c r="M14" i="2"/>
  <c r="N14" i="2"/>
  <c r="P14" i="2"/>
  <c r="Q14" i="2" s="1"/>
  <c r="M15" i="2"/>
  <c r="N15" i="2"/>
  <c r="P15" i="2"/>
  <c r="Q15" i="2" s="1"/>
  <c r="M16" i="2"/>
  <c r="N16" i="2"/>
  <c r="P16" i="2"/>
  <c r="R16" i="2" s="1"/>
  <c r="M17" i="2"/>
  <c r="N17" i="2"/>
  <c r="P17" i="2"/>
  <c r="N18" i="2"/>
  <c r="P18" i="2"/>
  <c r="Q18" i="2" s="1"/>
  <c r="AC14" i="2"/>
  <c r="L91" i="6" l="1"/>
  <c r="L92" i="6" s="1"/>
  <c r="L93" i="6" s="1"/>
  <c r="L94" i="6" s="1"/>
  <c r="L95" i="6" s="1"/>
  <c r="L96" i="6" s="1"/>
  <c r="L97" i="6" s="1"/>
  <c r="L98" i="6" s="1"/>
  <c r="I90" i="3"/>
  <c r="I19" i="3"/>
  <c r="I57" i="3"/>
  <c r="I84" i="3"/>
  <c r="I75" i="3"/>
  <c r="I79" i="3"/>
  <c r="I59" i="3"/>
  <c r="I68" i="3"/>
  <c r="I76" i="3"/>
  <c r="I61" i="3"/>
  <c r="I71" i="3"/>
  <c r="I49" i="3"/>
  <c r="I30" i="3"/>
  <c r="I62" i="3"/>
  <c r="I55" i="3"/>
  <c r="I88" i="3"/>
  <c r="I23" i="3"/>
  <c r="I63" i="3"/>
  <c r="I25" i="3"/>
  <c r="I80" i="3"/>
  <c r="I26" i="3"/>
  <c r="I58" i="3"/>
  <c r="I91" i="3"/>
  <c r="I28" i="3"/>
  <c r="I37" i="3"/>
  <c r="I89" i="3"/>
  <c r="I33" i="3"/>
  <c r="I34" i="3"/>
  <c r="I29" i="3"/>
  <c r="I73" i="3"/>
  <c r="I31" i="3"/>
  <c r="I43" i="3"/>
  <c r="I35" i="3"/>
  <c r="I92" i="3"/>
  <c r="I20" i="3"/>
  <c r="I13" i="3"/>
  <c r="I45" i="3"/>
  <c r="I77" i="3"/>
  <c r="I56" i="3"/>
  <c r="I14" i="3"/>
  <c r="I46" i="3"/>
  <c r="I78" i="3"/>
  <c r="I24" i="3"/>
  <c r="I65" i="3"/>
  <c r="I39" i="3"/>
  <c r="I48" i="3"/>
  <c r="I16" i="3"/>
  <c r="I81" i="3"/>
  <c r="I42" i="3"/>
  <c r="I74" i="3"/>
  <c r="I67" i="3"/>
  <c r="I60" i="3"/>
  <c r="I12" i="3"/>
  <c r="I32" i="3"/>
  <c r="I70" i="3"/>
  <c r="I87" i="3"/>
  <c r="I41" i="3"/>
  <c r="I66" i="3"/>
  <c r="I44" i="3"/>
  <c r="I11" i="3"/>
  <c r="I51" i="3"/>
  <c r="I36" i="3"/>
  <c r="I52" i="3"/>
  <c r="I21" i="3"/>
  <c r="I53" i="3"/>
  <c r="I85" i="3"/>
  <c r="I17" i="3"/>
  <c r="I22" i="3"/>
  <c r="I54" i="3"/>
  <c r="I86" i="3"/>
  <c r="I64" i="3"/>
  <c r="I15" i="3"/>
  <c r="I47" i="3"/>
  <c r="I72" i="3"/>
  <c r="I40" i="3"/>
  <c r="I18" i="3"/>
  <c r="I50" i="3"/>
  <c r="I82" i="3"/>
  <c r="I83" i="3"/>
  <c r="I27" i="3"/>
  <c r="I69" i="3"/>
  <c r="I38" i="3"/>
  <c r="I100" i="3"/>
  <c r="I106" i="3"/>
  <c r="I97" i="3"/>
  <c r="I99" i="3"/>
  <c r="I95" i="3"/>
  <c r="I102" i="3"/>
  <c r="I109" i="3"/>
  <c r="I107" i="3"/>
  <c r="I98" i="3"/>
  <c r="I112" i="3"/>
  <c r="I113" i="3"/>
  <c r="I94" i="3"/>
  <c r="I101" i="3"/>
  <c r="I108" i="3"/>
  <c r="I104" i="3"/>
  <c r="I111" i="3"/>
  <c r="I93" i="3"/>
  <c r="I114" i="3"/>
  <c r="I105" i="3"/>
  <c r="I96" i="3"/>
  <c r="I103" i="3"/>
  <c r="I110" i="3"/>
  <c r="Q16" i="2"/>
  <c r="O17" i="2"/>
  <c r="O15" i="2"/>
  <c r="O16" i="2"/>
  <c r="O14" i="2"/>
  <c r="L18" i="2"/>
  <c r="R14" i="2"/>
  <c r="R15" i="2"/>
  <c r="R18" i="2"/>
  <c r="A7" i="3"/>
  <c r="E10" i="6"/>
  <c r="E9" i="6"/>
  <c r="J8" i="6"/>
  <c r="E8" i="6"/>
  <c r="A5" i="6"/>
  <c r="A3" i="6"/>
  <c r="A3" i="3" s="1"/>
  <c r="A2" i="6"/>
  <c r="J8" i="2"/>
  <c r="E10" i="2"/>
  <c r="E9" i="2"/>
  <c r="E8" i="2"/>
  <c r="A5" i="2"/>
  <c r="A3" i="2"/>
  <c r="A2" i="2"/>
  <c r="A5" i="1"/>
  <c r="A3" i="1"/>
  <c r="A2" i="1"/>
  <c r="I12" i="8"/>
  <c r="I10" i="8"/>
  <c r="N69" i="2"/>
  <c r="N68" i="2"/>
  <c r="M67" i="2"/>
  <c r="N67" i="2"/>
  <c r="N42" i="2"/>
  <c r="N34" i="2"/>
  <c r="M26" i="2"/>
  <c r="N26" i="2"/>
  <c r="M25" i="2"/>
  <c r="N25" i="2"/>
  <c r="N35" i="2"/>
  <c r="P35" i="2"/>
  <c r="Q35" i="2" s="1"/>
  <c r="N36" i="2"/>
  <c r="P36" i="2"/>
  <c r="Q36" i="2" s="1"/>
  <c r="N37" i="2"/>
  <c r="P37" i="2"/>
  <c r="N38" i="2"/>
  <c r="P38" i="2"/>
  <c r="P39" i="2"/>
  <c r="P40" i="2"/>
  <c r="P41" i="2"/>
  <c r="P42" i="2"/>
  <c r="Q42" i="2" s="1"/>
  <c r="P43" i="2"/>
  <c r="Q43" i="2" s="1"/>
  <c r="P44" i="2"/>
  <c r="Q44" i="2" s="1"/>
  <c r="P45" i="2"/>
  <c r="P46" i="2"/>
  <c r="P47" i="2"/>
  <c r="P48" i="2"/>
  <c r="Q48" i="2" s="1"/>
  <c r="P49" i="2"/>
  <c r="P50" i="2"/>
  <c r="P51" i="2"/>
  <c r="Q51" i="2" s="1"/>
  <c r="P52" i="2"/>
  <c r="P53" i="2"/>
  <c r="P54" i="2"/>
  <c r="P55" i="2"/>
  <c r="P56" i="2"/>
  <c r="Q56" i="2" s="1"/>
  <c r="P57" i="2"/>
  <c r="P58" i="2"/>
  <c r="P59" i="2"/>
  <c r="Q59" i="2" s="1"/>
  <c r="P60" i="2"/>
  <c r="Q60" i="2" s="1"/>
  <c r="P61" i="2"/>
  <c r="P62" i="2"/>
  <c r="P63" i="2"/>
  <c r="P64" i="2"/>
  <c r="P65" i="2"/>
  <c r="P66" i="2"/>
  <c r="Q66" i="2" s="1"/>
  <c r="P67" i="2"/>
  <c r="P68" i="2"/>
  <c r="P69" i="2"/>
  <c r="P70" i="2"/>
  <c r="Q70" i="2" s="1"/>
  <c r="P71" i="2"/>
  <c r="P72" i="2"/>
  <c r="Q72" i="2" s="1"/>
  <c r="P73" i="2"/>
  <c r="P74" i="2"/>
  <c r="Q74" i="2" s="1"/>
  <c r="P75" i="2"/>
  <c r="P76" i="2"/>
  <c r="Q76" i="2" s="1"/>
  <c r="P77" i="2"/>
  <c r="P78" i="2"/>
  <c r="P79" i="2"/>
  <c r="P80" i="2"/>
  <c r="P81" i="2"/>
  <c r="Q81" i="2" s="1"/>
  <c r="P82" i="2"/>
  <c r="Q82" i="2" s="1"/>
  <c r="M83" i="2"/>
  <c r="N83" i="2"/>
  <c r="P83" i="2"/>
  <c r="Q83" i="2" s="1"/>
  <c r="M84" i="2"/>
  <c r="N84" i="2"/>
  <c r="P84" i="2"/>
  <c r="P85" i="2"/>
  <c r="P86" i="2"/>
  <c r="P87" i="2"/>
  <c r="P88" i="2"/>
  <c r="P89" i="2"/>
  <c r="Q89" i="2" s="1"/>
  <c r="P90" i="2"/>
  <c r="P91" i="2"/>
  <c r="Q91" i="2" s="1"/>
  <c r="P92" i="2"/>
  <c r="Q92" i="2" s="1"/>
  <c r="P93" i="2"/>
  <c r="Q93" i="2" s="1"/>
  <c r="P94" i="2"/>
  <c r="P95" i="2"/>
  <c r="Q95" i="2" s="1"/>
  <c r="P96" i="2"/>
  <c r="P97" i="2"/>
  <c r="P98" i="2"/>
  <c r="P99" i="2"/>
  <c r="P100" i="2"/>
  <c r="Q100" i="2" s="1"/>
  <c r="P101" i="2"/>
  <c r="Q101" i="2" s="1"/>
  <c r="P102" i="2"/>
  <c r="Q102" i="2" s="1"/>
  <c r="P103" i="2"/>
  <c r="P104" i="2"/>
  <c r="Q104" i="2" s="1"/>
  <c r="P105" i="2"/>
  <c r="Q105" i="2" s="1"/>
  <c r="P106" i="2"/>
  <c r="P107" i="2"/>
  <c r="P108" i="2"/>
  <c r="Q108" i="2" s="1"/>
  <c r="P109" i="2"/>
  <c r="P110" i="2"/>
  <c r="Q110" i="2" s="1"/>
  <c r="P111" i="2"/>
  <c r="P112" i="2"/>
  <c r="P113" i="2"/>
  <c r="P114" i="2"/>
  <c r="P115" i="2"/>
  <c r="Q115" i="2" s="1"/>
  <c r="P116" i="2"/>
  <c r="P117" i="2"/>
  <c r="Q117" i="2" s="1"/>
  <c r="P118" i="2"/>
  <c r="P119" i="2"/>
  <c r="P120" i="2"/>
  <c r="Q120" i="2" s="1"/>
  <c r="M121" i="2"/>
  <c r="N121" i="2"/>
  <c r="P121" i="2"/>
  <c r="P122" i="2"/>
  <c r="P123" i="2"/>
  <c r="P124" i="2"/>
  <c r="N125" i="2"/>
  <c r="P125" i="2"/>
  <c r="P126" i="2"/>
  <c r="P127" i="2"/>
  <c r="Q127" i="2" s="1"/>
  <c r="P128" i="2"/>
  <c r="P129" i="2"/>
  <c r="R129" i="2" s="1"/>
  <c r="P130" i="2"/>
  <c r="P131" i="2"/>
  <c r="Q131" i="2" s="1"/>
  <c r="P132" i="2"/>
  <c r="P133" i="2"/>
  <c r="P134" i="2"/>
  <c r="Q134" i="2" s="1"/>
  <c r="M135" i="2"/>
  <c r="N135" i="2"/>
  <c r="P135" i="2"/>
  <c r="P136" i="2"/>
  <c r="Q136" i="2" s="1"/>
  <c r="P137" i="2"/>
  <c r="P138" i="2"/>
  <c r="P139" i="2"/>
  <c r="P140" i="2"/>
  <c r="P141" i="2"/>
  <c r="Q141" i="2" s="1"/>
  <c r="P142" i="2"/>
  <c r="P143" i="2"/>
  <c r="Q143" i="2" s="1"/>
  <c r="P144" i="2"/>
  <c r="P145" i="2"/>
  <c r="R145" i="2" s="1"/>
  <c r="P146" i="2"/>
  <c r="P147" i="2"/>
  <c r="P148" i="2"/>
  <c r="Q148" i="2" s="1"/>
  <c r="P149" i="2"/>
  <c r="P150" i="2"/>
  <c r="Q150" i="2" s="1"/>
  <c r="P151" i="2"/>
  <c r="Q151" i="2" s="1"/>
  <c r="M152" i="2"/>
  <c r="N152" i="2"/>
  <c r="P152" i="2"/>
  <c r="Q152" i="2" s="1"/>
  <c r="M153" i="2"/>
  <c r="N153" i="2"/>
  <c r="P153" i="2"/>
  <c r="P154" i="2"/>
  <c r="P155" i="2"/>
  <c r="P156" i="2"/>
  <c r="P157" i="2"/>
  <c r="Q157" i="2" s="1"/>
  <c r="P158" i="2"/>
  <c r="P159" i="2"/>
  <c r="Q159" i="2" s="1"/>
  <c r="P160" i="2"/>
  <c r="Q160" i="2" s="1"/>
  <c r="P161" i="2"/>
  <c r="P162" i="2"/>
  <c r="P163" i="2"/>
  <c r="P164" i="2"/>
  <c r="P165" i="2"/>
  <c r="Q165" i="2" s="1"/>
  <c r="P166" i="2"/>
  <c r="Q166" i="2" s="1"/>
  <c r="P167" i="2"/>
  <c r="P168" i="2"/>
  <c r="P169" i="2"/>
  <c r="P170" i="2"/>
  <c r="Q170" i="2" s="1"/>
  <c r="P171" i="2"/>
  <c r="P172" i="2"/>
  <c r="P173" i="2"/>
  <c r="P174" i="2"/>
  <c r="P175" i="2"/>
  <c r="P176" i="2"/>
  <c r="Q176" i="2" s="1"/>
  <c r="P177" i="2"/>
  <c r="P178" i="2"/>
  <c r="Q178" i="2" s="1"/>
  <c r="P179" i="2"/>
  <c r="P180" i="2"/>
  <c r="P181" i="2"/>
  <c r="P182" i="2"/>
  <c r="P183" i="2"/>
  <c r="P184" i="2"/>
  <c r="Q184" i="2" s="1"/>
  <c r="P185" i="2"/>
  <c r="R185" i="2" s="1"/>
  <c r="P186" i="2"/>
  <c r="Q186" i="2" s="1"/>
  <c r="P187" i="2"/>
  <c r="Q187" i="2" s="1"/>
  <c r="P188" i="2"/>
  <c r="P189" i="2"/>
  <c r="P190" i="2"/>
  <c r="P191" i="2"/>
  <c r="P192" i="2"/>
  <c r="Q192" i="2" s="1"/>
  <c r="P193" i="2"/>
  <c r="P194" i="2"/>
  <c r="Q194" i="2" s="1"/>
  <c r="P195" i="2"/>
  <c r="Q195" i="2" s="1"/>
  <c r="P196" i="2"/>
  <c r="P197" i="2"/>
  <c r="P198" i="2"/>
  <c r="P199" i="2"/>
  <c r="Q199" i="2" s="1"/>
  <c r="P200" i="2"/>
  <c r="M201" i="2"/>
  <c r="N201" i="2"/>
  <c r="P201" i="2"/>
  <c r="R201" i="2" s="1"/>
  <c r="M202" i="2"/>
  <c r="N202" i="2"/>
  <c r="P202" i="2"/>
  <c r="N203" i="2"/>
  <c r="P203" i="2"/>
  <c r="P204" i="2"/>
  <c r="P205" i="2"/>
  <c r="P206" i="2"/>
  <c r="P207" i="2"/>
  <c r="Q207" i="2" s="1"/>
  <c r="P208" i="2"/>
  <c r="P209" i="2"/>
  <c r="Q209" i="2" s="1"/>
  <c r="P210" i="2"/>
  <c r="Q210" i="2" s="1"/>
  <c r="M211" i="2"/>
  <c r="N211" i="2"/>
  <c r="P211" i="2"/>
  <c r="P212" i="2"/>
  <c r="R212" i="2" s="1"/>
  <c r="M213" i="2"/>
  <c r="N213" i="2"/>
  <c r="P213" i="2"/>
  <c r="P214" i="2"/>
  <c r="P215" i="2"/>
  <c r="P216" i="2"/>
  <c r="P217" i="2"/>
  <c r="Q217" i="2" s="1"/>
  <c r="P218" i="2"/>
  <c r="P219" i="2"/>
  <c r="Q219" i="2" s="1"/>
  <c r="P220" i="2"/>
  <c r="P221" i="2"/>
  <c r="Q221" i="2" s="1"/>
  <c r="P222" i="2"/>
  <c r="P223" i="2"/>
  <c r="P224" i="2"/>
  <c r="P225" i="2"/>
  <c r="P226" i="2"/>
  <c r="Q226" i="2" s="1"/>
  <c r="P227" i="2"/>
  <c r="P228" i="2"/>
  <c r="P229" i="2"/>
  <c r="P230" i="2"/>
  <c r="Q230" i="2" s="1"/>
  <c r="P231" i="2"/>
  <c r="Q231" i="2" s="1"/>
  <c r="P232" i="2"/>
  <c r="P233" i="2"/>
  <c r="P234" i="2"/>
  <c r="Q234" i="2" s="1"/>
  <c r="P235" i="2"/>
  <c r="P236" i="2"/>
  <c r="P237" i="2"/>
  <c r="Q237" i="2" s="1"/>
  <c r="P238" i="2"/>
  <c r="P239" i="2"/>
  <c r="P240" i="2"/>
  <c r="P241" i="2"/>
  <c r="P242" i="2"/>
  <c r="Q242" i="2" s="1"/>
  <c r="P243" i="2"/>
  <c r="P244" i="2"/>
  <c r="N245" i="2"/>
  <c r="P245" i="2"/>
  <c r="P246" i="2"/>
  <c r="P247" i="2"/>
  <c r="P248" i="2"/>
  <c r="P249" i="2"/>
  <c r="P250" i="2"/>
  <c r="Q250" i="2" s="1"/>
  <c r="P251" i="2"/>
  <c r="P252" i="2"/>
  <c r="R252" i="2" s="1"/>
  <c r="N253" i="2"/>
  <c r="P253" i="2"/>
  <c r="Q253" i="2" s="1"/>
  <c r="P254" i="2"/>
  <c r="P255" i="2"/>
  <c r="P256" i="2"/>
  <c r="P257" i="2"/>
  <c r="P258" i="2"/>
  <c r="P259" i="2"/>
  <c r="Q259" i="2" s="1"/>
  <c r="P260" i="2"/>
  <c r="R260" i="2" s="1"/>
  <c r="P261" i="2"/>
  <c r="P262" i="2"/>
  <c r="Q262" i="2" s="1"/>
  <c r="M263" i="2"/>
  <c r="N263" i="2"/>
  <c r="P263" i="2"/>
  <c r="Q263" i="2" s="1"/>
  <c r="M264" i="2"/>
  <c r="N264" i="2"/>
  <c r="P264" i="2"/>
  <c r="M265" i="2"/>
  <c r="N265" i="2"/>
  <c r="P265" i="2"/>
  <c r="P266" i="2"/>
  <c r="P267" i="2"/>
  <c r="P268" i="2"/>
  <c r="P269" i="2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M27" i="2"/>
  <c r="N27" i="2"/>
  <c r="P27" i="2"/>
  <c r="Q27" i="2" s="1"/>
  <c r="M28" i="2"/>
  <c r="N28" i="2"/>
  <c r="P28" i="2"/>
  <c r="Q28" i="2" s="1"/>
  <c r="M29" i="2"/>
  <c r="N29" i="2"/>
  <c r="P29" i="2"/>
  <c r="Q29" i="2" s="1"/>
  <c r="M30" i="2"/>
  <c r="N30" i="2"/>
  <c r="P30" i="2"/>
  <c r="Q30" i="2" s="1"/>
  <c r="M31" i="2"/>
  <c r="N31" i="2"/>
  <c r="P31" i="2"/>
  <c r="P32" i="2"/>
  <c r="Q32" i="2" s="1"/>
  <c r="P33" i="2"/>
  <c r="P34" i="2"/>
  <c r="Q34" i="2" s="1"/>
  <c r="P19" i="2"/>
  <c r="L19" i="2"/>
  <c r="L20" i="2" s="1"/>
  <c r="E272" i="2" l="1"/>
  <c r="G271" i="2"/>
  <c r="I270" i="2"/>
  <c r="J270" i="2" s="1"/>
  <c r="C270" i="2"/>
  <c r="D269" i="2"/>
  <c r="E241" i="2"/>
  <c r="G240" i="2"/>
  <c r="I239" i="2"/>
  <c r="J239" i="2" s="1"/>
  <c r="C239" i="2"/>
  <c r="D238" i="2"/>
  <c r="E237" i="2"/>
  <c r="G236" i="2"/>
  <c r="I235" i="2"/>
  <c r="J235" i="2" s="1"/>
  <c r="M235" i="2" s="1"/>
  <c r="C235" i="2"/>
  <c r="D234" i="2"/>
  <c r="E233" i="2"/>
  <c r="G232" i="2"/>
  <c r="I222" i="2"/>
  <c r="J222" i="2" s="1"/>
  <c r="M222" i="2" s="1"/>
  <c r="C222" i="2"/>
  <c r="D221" i="2"/>
  <c r="N221" i="2" s="1"/>
  <c r="G220" i="2"/>
  <c r="I219" i="2"/>
  <c r="J219" i="2" s="1"/>
  <c r="C219" i="2"/>
  <c r="E210" i="2"/>
  <c r="G209" i="2"/>
  <c r="D190" i="2"/>
  <c r="E189" i="2"/>
  <c r="I188" i="2"/>
  <c r="J188" i="2" s="1"/>
  <c r="C188" i="2"/>
  <c r="D187" i="2"/>
  <c r="N187" i="2" s="1"/>
  <c r="G186" i="2"/>
  <c r="I185" i="2"/>
  <c r="J185" i="2" s="1"/>
  <c r="C185" i="2"/>
  <c r="E184" i="2"/>
  <c r="G183" i="2"/>
  <c r="D182" i="2"/>
  <c r="E181" i="2"/>
  <c r="I170" i="2"/>
  <c r="J170" i="2" s="1"/>
  <c r="C170" i="2"/>
  <c r="D161" i="2"/>
  <c r="G160" i="2"/>
  <c r="I159" i="2"/>
  <c r="J159" i="2" s="1"/>
  <c r="C159" i="2"/>
  <c r="E158" i="2"/>
  <c r="G157" i="2"/>
  <c r="D156" i="2"/>
  <c r="E146" i="2"/>
  <c r="I145" i="2"/>
  <c r="J145" i="2" s="1"/>
  <c r="C145" i="2"/>
  <c r="D144" i="2"/>
  <c r="N144" i="2" s="1"/>
  <c r="G143" i="2"/>
  <c r="I134" i="2"/>
  <c r="J134" i="2" s="1"/>
  <c r="C134" i="2"/>
  <c r="E133" i="2"/>
  <c r="G132" i="2"/>
  <c r="D131" i="2"/>
  <c r="E130" i="2"/>
  <c r="I129" i="2"/>
  <c r="J129" i="2" s="1"/>
  <c r="C129" i="2"/>
  <c r="D128" i="2"/>
  <c r="G119" i="2"/>
  <c r="I110" i="2"/>
  <c r="J110" i="2" s="1"/>
  <c r="C110" i="2"/>
  <c r="E101" i="2"/>
  <c r="G81" i="2"/>
  <c r="D80" i="2"/>
  <c r="E72" i="2"/>
  <c r="I62" i="2"/>
  <c r="J62" i="2" s="1"/>
  <c r="D272" i="2"/>
  <c r="E271" i="2"/>
  <c r="G270" i="2"/>
  <c r="I269" i="2"/>
  <c r="J269" i="2" s="1"/>
  <c r="C269" i="2"/>
  <c r="D241" i="2"/>
  <c r="E240" i="2"/>
  <c r="G239" i="2"/>
  <c r="I238" i="2"/>
  <c r="J238" i="2" s="1"/>
  <c r="C238" i="2"/>
  <c r="D237" i="2"/>
  <c r="E236" i="2"/>
  <c r="G235" i="2"/>
  <c r="I234" i="2"/>
  <c r="J234" i="2" s="1"/>
  <c r="C234" i="2"/>
  <c r="D233" i="2"/>
  <c r="N233" i="2" s="1"/>
  <c r="E232" i="2"/>
  <c r="G222" i="2"/>
  <c r="I221" i="2"/>
  <c r="J221" i="2" s="1"/>
  <c r="M221" i="2" s="1"/>
  <c r="C221" i="2"/>
  <c r="E220" i="2"/>
  <c r="G219" i="2"/>
  <c r="D210" i="2"/>
  <c r="N210" i="2" s="1"/>
  <c r="E209" i="2"/>
  <c r="I190" i="2"/>
  <c r="J190" i="2" s="1"/>
  <c r="C190" i="2"/>
  <c r="D189" i="2"/>
  <c r="G188" i="2"/>
  <c r="I187" i="2"/>
  <c r="J187" i="2" s="1"/>
  <c r="C187" i="2"/>
  <c r="E186" i="2"/>
  <c r="G185" i="2"/>
  <c r="D184" i="2"/>
  <c r="E183" i="2"/>
  <c r="I182" i="2"/>
  <c r="J182" i="2" s="1"/>
  <c r="C182" i="2"/>
  <c r="D181" i="2"/>
  <c r="G170" i="2"/>
  <c r="I161" i="2"/>
  <c r="J161" i="2" s="1"/>
  <c r="C161" i="2"/>
  <c r="E160" i="2"/>
  <c r="G159" i="2"/>
  <c r="D158" i="2"/>
  <c r="E157" i="2"/>
  <c r="I156" i="2"/>
  <c r="J156" i="2" s="1"/>
  <c r="C156" i="2"/>
  <c r="D146" i="2"/>
  <c r="N146" i="2" s="1"/>
  <c r="G145" i="2"/>
  <c r="I144" i="2"/>
  <c r="J144" i="2" s="1"/>
  <c r="M144" i="2" s="1"/>
  <c r="C144" i="2"/>
  <c r="E143" i="2"/>
  <c r="G134" i="2"/>
  <c r="D133" i="2"/>
  <c r="N133" i="2" s="1"/>
  <c r="E132" i="2"/>
  <c r="I131" i="2"/>
  <c r="J131" i="2" s="1"/>
  <c r="C131" i="2"/>
  <c r="D130" i="2"/>
  <c r="N130" i="2" s="1"/>
  <c r="G129" i="2"/>
  <c r="I128" i="2"/>
  <c r="J128" i="2" s="1"/>
  <c r="C128" i="2"/>
  <c r="E119" i="2"/>
  <c r="G110" i="2"/>
  <c r="D101" i="2"/>
  <c r="E81" i="2"/>
  <c r="I80" i="2"/>
  <c r="J80" i="2" s="1"/>
  <c r="C80" i="2"/>
  <c r="D72" i="2"/>
  <c r="G62" i="2"/>
  <c r="C272" i="2"/>
  <c r="E270" i="2"/>
  <c r="I241" i="2"/>
  <c r="J241" i="2" s="1"/>
  <c r="D240" i="2"/>
  <c r="G238" i="2"/>
  <c r="C237" i="2"/>
  <c r="E235" i="2"/>
  <c r="I233" i="2"/>
  <c r="J233" i="2" s="1"/>
  <c r="M233" i="2" s="1"/>
  <c r="D232" i="2"/>
  <c r="G221" i="2"/>
  <c r="D220" i="2"/>
  <c r="N220" i="2" s="1"/>
  <c r="O220" i="2" s="1"/>
  <c r="I210" i="2"/>
  <c r="J210" i="2" s="1"/>
  <c r="M210" i="2" s="1"/>
  <c r="O210" i="2" s="1"/>
  <c r="D209" i="2"/>
  <c r="I189" i="2"/>
  <c r="J189" i="2" s="1"/>
  <c r="E188" i="2"/>
  <c r="E185" i="2"/>
  <c r="C184" i="2"/>
  <c r="G182" i="2"/>
  <c r="C181" i="2"/>
  <c r="G161" i="2"/>
  <c r="D160" i="2"/>
  <c r="I158" i="2"/>
  <c r="J158" i="2" s="1"/>
  <c r="D157" i="2"/>
  <c r="I146" i="2"/>
  <c r="J146" i="2" s="1"/>
  <c r="E145" i="2"/>
  <c r="E134" i="2"/>
  <c r="C133" i="2"/>
  <c r="G131" i="2"/>
  <c r="C130" i="2"/>
  <c r="G128" i="2"/>
  <c r="D119" i="2"/>
  <c r="N119" i="2" s="1"/>
  <c r="O119" i="2" s="1"/>
  <c r="I101" i="2"/>
  <c r="J101" i="2" s="1"/>
  <c r="D81" i="2"/>
  <c r="I72" i="2"/>
  <c r="J72" i="2" s="1"/>
  <c r="E62" i="2"/>
  <c r="G61" i="2"/>
  <c r="D39" i="2"/>
  <c r="E32" i="2"/>
  <c r="I24" i="2"/>
  <c r="J24" i="2" s="1"/>
  <c r="C24" i="2"/>
  <c r="D23" i="2"/>
  <c r="G22" i="2"/>
  <c r="I21" i="2"/>
  <c r="J21" i="2" s="1"/>
  <c r="C21" i="2"/>
  <c r="D674" i="6"/>
  <c r="E673" i="6"/>
  <c r="G672" i="6"/>
  <c r="I671" i="6"/>
  <c r="J671" i="6" s="1"/>
  <c r="C671" i="6"/>
  <c r="D670" i="6"/>
  <c r="E669" i="6"/>
  <c r="G668" i="6"/>
  <c r="I661" i="6"/>
  <c r="J661" i="6" s="1"/>
  <c r="C661" i="6"/>
  <c r="D660" i="6"/>
  <c r="E659" i="6"/>
  <c r="G658" i="6"/>
  <c r="I657" i="6"/>
  <c r="J657" i="6" s="1"/>
  <c r="C657" i="6"/>
  <c r="D656" i="6"/>
  <c r="E655" i="6"/>
  <c r="G648" i="6"/>
  <c r="I647" i="6"/>
  <c r="J647" i="6" s="1"/>
  <c r="C647" i="6"/>
  <c r="D646" i="6"/>
  <c r="E645" i="6"/>
  <c r="G644" i="6"/>
  <c r="I643" i="6"/>
  <c r="J643" i="6" s="1"/>
  <c r="C643" i="6"/>
  <c r="D642" i="6"/>
  <c r="E635" i="6"/>
  <c r="G634" i="6"/>
  <c r="I633" i="6"/>
  <c r="J633" i="6" s="1"/>
  <c r="C633" i="6"/>
  <c r="D632" i="6"/>
  <c r="E631" i="6"/>
  <c r="G630" i="6"/>
  <c r="I271" i="2"/>
  <c r="J271" i="2" s="1"/>
  <c r="D270" i="2"/>
  <c r="G241" i="2"/>
  <c r="C240" i="2"/>
  <c r="E238" i="2"/>
  <c r="I236" i="2"/>
  <c r="J236" i="2" s="1"/>
  <c r="D235" i="2"/>
  <c r="N235" i="2" s="1"/>
  <c r="O235" i="2" s="1"/>
  <c r="G233" i="2"/>
  <c r="C232" i="2"/>
  <c r="E221" i="2"/>
  <c r="C220" i="2"/>
  <c r="G210" i="2"/>
  <c r="C209" i="2"/>
  <c r="G189" i="2"/>
  <c r="D188" i="2"/>
  <c r="I186" i="2"/>
  <c r="J186" i="2" s="1"/>
  <c r="D185" i="2"/>
  <c r="I183" i="2"/>
  <c r="J183" i="2" s="1"/>
  <c r="E182" i="2"/>
  <c r="E161" i="2"/>
  <c r="C160" i="2"/>
  <c r="G158" i="2"/>
  <c r="C157" i="2"/>
  <c r="G146" i="2"/>
  <c r="D145" i="2"/>
  <c r="N145" i="2" s="1"/>
  <c r="I143" i="2"/>
  <c r="J143" i="2" s="1"/>
  <c r="D134" i="2"/>
  <c r="I132" i="2"/>
  <c r="J132" i="2" s="1"/>
  <c r="E131" i="2"/>
  <c r="E128" i="2"/>
  <c r="C119" i="2"/>
  <c r="G101" i="2"/>
  <c r="C81" i="2"/>
  <c r="G72" i="2"/>
  <c r="D62" i="2"/>
  <c r="E61" i="2"/>
  <c r="I39" i="2"/>
  <c r="J39" i="2" s="1"/>
  <c r="C39" i="2"/>
  <c r="D32" i="2"/>
  <c r="G24" i="2"/>
  <c r="I23" i="2"/>
  <c r="J23" i="2" s="1"/>
  <c r="C23" i="2"/>
  <c r="E22" i="2"/>
  <c r="G21" i="2"/>
  <c r="I674" i="6"/>
  <c r="J674" i="6" s="1"/>
  <c r="C674" i="6"/>
  <c r="D673" i="6"/>
  <c r="E672" i="6"/>
  <c r="G671" i="6"/>
  <c r="I670" i="6"/>
  <c r="J670" i="6" s="1"/>
  <c r="C670" i="6"/>
  <c r="D669" i="6"/>
  <c r="E668" i="6"/>
  <c r="G661" i="6"/>
  <c r="I660" i="6"/>
  <c r="J660" i="6" s="1"/>
  <c r="C660" i="6"/>
  <c r="D659" i="6"/>
  <c r="E658" i="6"/>
  <c r="G657" i="6"/>
  <c r="I656" i="6"/>
  <c r="J656" i="6" s="1"/>
  <c r="C656" i="6"/>
  <c r="D655" i="6"/>
  <c r="E648" i="6"/>
  <c r="G647" i="6"/>
  <c r="I646" i="6"/>
  <c r="J646" i="6" s="1"/>
  <c r="C646" i="6"/>
  <c r="D645" i="6"/>
  <c r="E644" i="6"/>
  <c r="G643" i="6"/>
  <c r="I642" i="6"/>
  <c r="J642" i="6" s="1"/>
  <c r="C642" i="6"/>
  <c r="D635" i="6"/>
  <c r="E634" i="6"/>
  <c r="G633" i="6"/>
  <c r="I632" i="6"/>
  <c r="J632" i="6" s="1"/>
  <c r="C632" i="6"/>
  <c r="D631" i="6"/>
  <c r="E630" i="6"/>
  <c r="I272" i="2"/>
  <c r="J272" i="2" s="1"/>
  <c r="D271" i="2"/>
  <c r="N271" i="2" s="1"/>
  <c r="G269" i="2"/>
  <c r="C241" i="2"/>
  <c r="E239" i="2"/>
  <c r="I237" i="2"/>
  <c r="J237" i="2" s="1"/>
  <c r="D236" i="2"/>
  <c r="G234" i="2"/>
  <c r="C233" i="2"/>
  <c r="E222" i="2"/>
  <c r="E219" i="2"/>
  <c r="C210" i="2"/>
  <c r="G190" i="2"/>
  <c r="C189" i="2"/>
  <c r="G187" i="2"/>
  <c r="D186" i="2"/>
  <c r="I184" i="2"/>
  <c r="J184" i="2" s="1"/>
  <c r="D183" i="2"/>
  <c r="I181" i="2"/>
  <c r="J181" i="2" s="1"/>
  <c r="E170" i="2"/>
  <c r="E159" i="2"/>
  <c r="C158" i="2"/>
  <c r="G156" i="2"/>
  <c r="C146" i="2"/>
  <c r="G144" i="2"/>
  <c r="D143" i="2"/>
  <c r="I133" i="2"/>
  <c r="J133" i="2" s="1"/>
  <c r="M133" i="2" s="1"/>
  <c r="D132" i="2"/>
  <c r="I130" i="2"/>
  <c r="J130" i="2" s="1"/>
  <c r="M130" i="2" s="1"/>
  <c r="O130" i="2" s="1"/>
  <c r="E129" i="2"/>
  <c r="E110" i="2"/>
  <c r="C101" i="2"/>
  <c r="G80" i="2"/>
  <c r="C72" i="2"/>
  <c r="C62" i="2"/>
  <c r="D61" i="2"/>
  <c r="G39" i="2"/>
  <c r="I32" i="2"/>
  <c r="J32" i="2" s="1"/>
  <c r="C32" i="2"/>
  <c r="E269" i="2"/>
  <c r="C236" i="2"/>
  <c r="I220" i="2"/>
  <c r="J220" i="2" s="1"/>
  <c r="M220" i="2" s="1"/>
  <c r="C183" i="2"/>
  <c r="D159" i="2"/>
  <c r="N159" i="2" s="1"/>
  <c r="E144" i="2"/>
  <c r="G130" i="2"/>
  <c r="I81" i="2"/>
  <c r="J81" i="2" s="1"/>
  <c r="C61" i="2"/>
  <c r="E24" i="2"/>
  <c r="E21" i="2"/>
  <c r="I673" i="6"/>
  <c r="J673" i="6" s="1"/>
  <c r="D672" i="6"/>
  <c r="G670" i="6"/>
  <c r="C669" i="6"/>
  <c r="E661" i="6"/>
  <c r="I659" i="6"/>
  <c r="J659" i="6" s="1"/>
  <c r="D658" i="6"/>
  <c r="I240" i="2"/>
  <c r="J240" i="2" s="1"/>
  <c r="E234" i="2"/>
  <c r="D219" i="2"/>
  <c r="E187" i="2"/>
  <c r="G181" i="2"/>
  <c r="I157" i="2"/>
  <c r="J157" i="2" s="1"/>
  <c r="C143" i="2"/>
  <c r="D129" i="2"/>
  <c r="E80" i="2"/>
  <c r="E39" i="2"/>
  <c r="D24" i="2"/>
  <c r="I22" i="2"/>
  <c r="J22" i="2" s="1"/>
  <c r="D21" i="2"/>
  <c r="G673" i="6"/>
  <c r="C672" i="6"/>
  <c r="E670" i="6"/>
  <c r="I668" i="6"/>
  <c r="J668" i="6" s="1"/>
  <c r="D661" i="6"/>
  <c r="G659" i="6"/>
  <c r="C658" i="6"/>
  <c r="E656" i="6"/>
  <c r="I648" i="6"/>
  <c r="J648" i="6" s="1"/>
  <c r="D647" i="6"/>
  <c r="G645" i="6"/>
  <c r="C644" i="6"/>
  <c r="E642" i="6"/>
  <c r="I634" i="6"/>
  <c r="J634" i="6" s="1"/>
  <c r="D633" i="6"/>
  <c r="G631" i="6"/>
  <c r="C630" i="6"/>
  <c r="D629" i="6"/>
  <c r="E622" i="6"/>
  <c r="G621" i="6"/>
  <c r="I620" i="6"/>
  <c r="J620" i="6" s="1"/>
  <c r="C620" i="6"/>
  <c r="D619" i="6"/>
  <c r="E618" i="6"/>
  <c r="N618" i="6" s="1"/>
  <c r="G617" i="6"/>
  <c r="I616" i="6"/>
  <c r="J616" i="6" s="1"/>
  <c r="M616" i="6" s="1"/>
  <c r="C616" i="6"/>
  <c r="D609" i="6"/>
  <c r="E608" i="6"/>
  <c r="N608" i="6" s="1"/>
  <c r="G607" i="6"/>
  <c r="I606" i="6"/>
  <c r="J606" i="6" s="1"/>
  <c r="M606" i="6" s="1"/>
  <c r="C606" i="6"/>
  <c r="G272" i="2"/>
  <c r="D239" i="2"/>
  <c r="I232" i="2"/>
  <c r="J232" i="2" s="1"/>
  <c r="I209" i="2"/>
  <c r="J209" i="2" s="1"/>
  <c r="C186" i="2"/>
  <c r="D170" i="2"/>
  <c r="N170" i="2" s="1"/>
  <c r="E156" i="2"/>
  <c r="G133" i="2"/>
  <c r="I119" i="2"/>
  <c r="J119" i="2" s="1"/>
  <c r="M119" i="2" s="1"/>
  <c r="G32" i="2"/>
  <c r="G23" i="2"/>
  <c r="D22" i="2"/>
  <c r="G674" i="6"/>
  <c r="C673" i="6"/>
  <c r="E671" i="6"/>
  <c r="I669" i="6"/>
  <c r="J669" i="6" s="1"/>
  <c r="D668" i="6"/>
  <c r="G660" i="6"/>
  <c r="C659" i="6"/>
  <c r="E657" i="6"/>
  <c r="I655" i="6"/>
  <c r="J655" i="6" s="1"/>
  <c r="D648" i="6"/>
  <c r="G646" i="6"/>
  <c r="C645" i="6"/>
  <c r="E643" i="6"/>
  <c r="I635" i="6"/>
  <c r="J635" i="6" s="1"/>
  <c r="D634" i="6"/>
  <c r="G632" i="6"/>
  <c r="C631" i="6"/>
  <c r="I629" i="6"/>
  <c r="J629" i="6" s="1"/>
  <c r="C629" i="6"/>
  <c r="D622" i="6"/>
  <c r="E621" i="6"/>
  <c r="G620" i="6"/>
  <c r="I619" i="6"/>
  <c r="J619" i="6" s="1"/>
  <c r="C619" i="6"/>
  <c r="D618" i="6"/>
  <c r="E617" i="6"/>
  <c r="N617" i="6" s="1"/>
  <c r="G616" i="6"/>
  <c r="I609" i="6"/>
  <c r="J609" i="6" s="1"/>
  <c r="C609" i="6"/>
  <c r="D608" i="6"/>
  <c r="E607" i="6"/>
  <c r="G606" i="6"/>
  <c r="I605" i="6"/>
  <c r="J605" i="6" s="1"/>
  <c r="M605" i="6" s="1"/>
  <c r="C605" i="6"/>
  <c r="D604" i="6"/>
  <c r="E603" i="6"/>
  <c r="N603" i="6" s="1"/>
  <c r="G596" i="6"/>
  <c r="I595" i="6"/>
  <c r="J595" i="6" s="1"/>
  <c r="M595" i="6" s="1"/>
  <c r="C595" i="6"/>
  <c r="D594" i="6"/>
  <c r="E593" i="6"/>
  <c r="G592" i="6"/>
  <c r="I591" i="6"/>
  <c r="J591" i="6" s="1"/>
  <c r="C591" i="6"/>
  <c r="D590" i="6"/>
  <c r="E583" i="6"/>
  <c r="G577" i="6"/>
  <c r="I571" i="6"/>
  <c r="J571" i="6" s="1"/>
  <c r="C571" i="6"/>
  <c r="D548" i="6"/>
  <c r="E547" i="6"/>
  <c r="G541" i="6"/>
  <c r="I535" i="6"/>
  <c r="J535" i="6" s="1"/>
  <c r="M535" i="6" s="1"/>
  <c r="C535" i="6"/>
  <c r="D534" i="6"/>
  <c r="E528" i="6"/>
  <c r="N528" i="6" s="1"/>
  <c r="G527" i="6"/>
  <c r="I521" i="6"/>
  <c r="J521" i="6" s="1"/>
  <c r="C521" i="6"/>
  <c r="D520" i="6"/>
  <c r="E494" i="6"/>
  <c r="N494" i="6" s="1"/>
  <c r="G493" i="6"/>
  <c r="I492" i="6"/>
  <c r="J492" i="6" s="1"/>
  <c r="M492" i="6" s="1"/>
  <c r="C492" i="6"/>
  <c r="D491" i="6"/>
  <c r="E490" i="6"/>
  <c r="N490" i="6" s="1"/>
  <c r="G489" i="6"/>
  <c r="I488" i="6"/>
  <c r="J488" i="6" s="1"/>
  <c r="M488" i="6" s="1"/>
  <c r="C488" i="6"/>
  <c r="D481" i="6"/>
  <c r="E480" i="6"/>
  <c r="N480" i="6" s="1"/>
  <c r="G479" i="6"/>
  <c r="C271" i="2"/>
  <c r="G237" i="2"/>
  <c r="D222" i="2"/>
  <c r="N222" i="2" s="1"/>
  <c r="O222" i="2" s="1"/>
  <c r="E190" i="2"/>
  <c r="G184" i="2"/>
  <c r="I160" i="2"/>
  <c r="J160" i="2" s="1"/>
  <c r="C132" i="2"/>
  <c r="D110" i="2"/>
  <c r="I61" i="2"/>
  <c r="J61" i="2" s="1"/>
  <c r="E23" i="2"/>
  <c r="C22" i="2"/>
  <c r="E674" i="6"/>
  <c r="I672" i="6"/>
  <c r="J672" i="6" s="1"/>
  <c r="D671" i="6"/>
  <c r="G669" i="6"/>
  <c r="C668" i="6"/>
  <c r="E660" i="6"/>
  <c r="I658" i="6"/>
  <c r="J658" i="6" s="1"/>
  <c r="D657" i="6"/>
  <c r="C648" i="6"/>
  <c r="I644" i="6"/>
  <c r="J644" i="6" s="1"/>
  <c r="G635" i="6"/>
  <c r="E632" i="6"/>
  <c r="G629" i="6"/>
  <c r="C622" i="6"/>
  <c r="E620" i="6"/>
  <c r="I618" i="6"/>
  <c r="J618" i="6" s="1"/>
  <c r="D617" i="6"/>
  <c r="G609" i="6"/>
  <c r="C608" i="6"/>
  <c r="E606" i="6"/>
  <c r="N606" i="6" s="1"/>
  <c r="O606" i="6" s="1"/>
  <c r="D605" i="6"/>
  <c r="C604" i="6"/>
  <c r="C603" i="6"/>
  <c r="C596" i="6"/>
  <c r="I594" i="6"/>
  <c r="J594" i="6" s="1"/>
  <c r="I593" i="6"/>
  <c r="J593" i="6" s="1"/>
  <c r="I592" i="6"/>
  <c r="J592" i="6" s="1"/>
  <c r="G591" i="6"/>
  <c r="G590" i="6"/>
  <c r="G583" i="6"/>
  <c r="E577" i="6"/>
  <c r="N577" i="6" s="1"/>
  <c r="E571" i="6"/>
  <c r="E548" i="6"/>
  <c r="N548" i="6" s="1"/>
  <c r="D547" i="6"/>
  <c r="D541" i="6"/>
  <c r="D535" i="6"/>
  <c r="C534" i="6"/>
  <c r="C528" i="6"/>
  <c r="C527" i="6"/>
  <c r="I520" i="6"/>
  <c r="J520" i="6" s="1"/>
  <c r="I494" i="6"/>
  <c r="J494" i="6" s="1"/>
  <c r="I493" i="6"/>
  <c r="J493" i="6" s="1"/>
  <c r="G492" i="6"/>
  <c r="G491" i="6"/>
  <c r="G490" i="6"/>
  <c r="E489" i="6"/>
  <c r="E488" i="6"/>
  <c r="N488" i="6" s="1"/>
  <c r="E481" i="6"/>
  <c r="N481" i="6" s="1"/>
  <c r="D480" i="6"/>
  <c r="D479" i="6"/>
  <c r="E478" i="6"/>
  <c r="G477" i="6"/>
  <c r="I476" i="6"/>
  <c r="J476" i="6" s="1"/>
  <c r="C476" i="6"/>
  <c r="D475" i="6"/>
  <c r="E468" i="6"/>
  <c r="N468" i="6" s="1"/>
  <c r="G467" i="6"/>
  <c r="I466" i="6"/>
  <c r="J466" i="6" s="1"/>
  <c r="M466" i="6" s="1"/>
  <c r="C466" i="6"/>
  <c r="D465" i="6"/>
  <c r="E464" i="6"/>
  <c r="N464" i="6" s="1"/>
  <c r="G463" i="6"/>
  <c r="I462" i="6"/>
  <c r="J462" i="6" s="1"/>
  <c r="C462" i="6"/>
  <c r="D455" i="6"/>
  <c r="E454" i="6"/>
  <c r="N454" i="6" s="1"/>
  <c r="G453" i="6"/>
  <c r="I452" i="6"/>
  <c r="J452" i="6" s="1"/>
  <c r="C452" i="6"/>
  <c r="D451" i="6"/>
  <c r="E444" i="6"/>
  <c r="G438" i="6"/>
  <c r="I432" i="6"/>
  <c r="J432" i="6" s="1"/>
  <c r="C432" i="6"/>
  <c r="D426" i="6"/>
  <c r="E420" i="6"/>
  <c r="G414" i="6"/>
  <c r="I408" i="6"/>
  <c r="J408" i="6" s="1"/>
  <c r="M408" i="6" s="1"/>
  <c r="C408" i="6"/>
  <c r="D402" i="6"/>
  <c r="E396" i="6"/>
  <c r="G390" i="6"/>
  <c r="I384" i="6"/>
  <c r="J384" i="6" s="1"/>
  <c r="M384" i="6" s="1"/>
  <c r="C384" i="6"/>
  <c r="D378" i="6"/>
  <c r="E372" i="6"/>
  <c r="G366" i="6"/>
  <c r="I360" i="6"/>
  <c r="J360" i="6" s="1"/>
  <c r="C360" i="6"/>
  <c r="D354" i="6"/>
  <c r="E353" i="6"/>
  <c r="G352" i="6"/>
  <c r="G655" i="6"/>
  <c r="E646" i="6"/>
  <c r="D643" i="6"/>
  <c r="C634" i="6"/>
  <c r="I630" i="6"/>
  <c r="J630" i="6" s="1"/>
  <c r="I622" i="6"/>
  <c r="J622" i="6" s="1"/>
  <c r="D621" i="6"/>
  <c r="G619" i="6"/>
  <c r="C618" i="6"/>
  <c r="E616" i="6"/>
  <c r="N616" i="6" s="1"/>
  <c r="I608" i="6"/>
  <c r="J608" i="6" s="1"/>
  <c r="D607" i="6"/>
  <c r="G605" i="6"/>
  <c r="G604" i="6"/>
  <c r="G603" i="6"/>
  <c r="E596" i="6"/>
  <c r="N596" i="6" s="1"/>
  <c r="E595" i="6"/>
  <c r="N595" i="6" s="1"/>
  <c r="E594" i="6"/>
  <c r="D593" i="6"/>
  <c r="D592" i="6"/>
  <c r="D591" i="6"/>
  <c r="C590" i="6"/>
  <c r="C583" i="6"/>
  <c r="C577" i="6"/>
  <c r="I548" i="6"/>
  <c r="J548" i="6" s="1"/>
  <c r="M548" i="6" s="1"/>
  <c r="I547" i="6"/>
  <c r="J547" i="6" s="1"/>
  <c r="I541" i="6"/>
  <c r="J541" i="6" s="1"/>
  <c r="G535" i="6"/>
  <c r="G534" i="6"/>
  <c r="G528" i="6"/>
  <c r="E527" i="6"/>
  <c r="N527" i="6" s="1"/>
  <c r="E521" i="6"/>
  <c r="E520" i="6"/>
  <c r="N520" i="6" s="1"/>
  <c r="D494" i="6"/>
  <c r="D493" i="6"/>
  <c r="D492" i="6"/>
  <c r="C491" i="6"/>
  <c r="C490" i="6"/>
  <c r="C489" i="6"/>
  <c r="I481" i="6"/>
  <c r="J481" i="6" s="1"/>
  <c r="M481" i="6" s="1"/>
  <c r="I480" i="6"/>
  <c r="J480" i="6" s="1"/>
  <c r="M480" i="6" s="1"/>
  <c r="I479" i="6"/>
  <c r="J479" i="6" s="1"/>
  <c r="I478" i="6"/>
  <c r="J478" i="6" s="1"/>
  <c r="C478" i="6"/>
  <c r="D477" i="6"/>
  <c r="E476" i="6"/>
  <c r="G475" i="6"/>
  <c r="I468" i="6"/>
  <c r="J468" i="6" s="1"/>
  <c r="C468" i="6"/>
  <c r="D467" i="6"/>
  <c r="E466" i="6"/>
  <c r="N466" i="6" s="1"/>
  <c r="G465" i="6"/>
  <c r="I464" i="6"/>
  <c r="J464" i="6" s="1"/>
  <c r="M464" i="6" s="1"/>
  <c r="C464" i="6"/>
  <c r="D463" i="6"/>
  <c r="E462" i="6"/>
  <c r="G455" i="6"/>
  <c r="I454" i="6"/>
  <c r="J454" i="6" s="1"/>
  <c r="M454" i="6" s="1"/>
  <c r="C454" i="6"/>
  <c r="D453" i="6"/>
  <c r="E452" i="6"/>
  <c r="G451" i="6"/>
  <c r="I444" i="6"/>
  <c r="J444" i="6" s="1"/>
  <c r="C444" i="6"/>
  <c r="D438" i="6"/>
  <c r="E432" i="6"/>
  <c r="G426" i="6"/>
  <c r="I420" i="6"/>
  <c r="J420" i="6" s="1"/>
  <c r="C420" i="6"/>
  <c r="D414" i="6"/>
  <c r="E408" i="6"/>
  <c r="G402" i="6"/>
  <c r="I396" i="6"/>
  <c r="J396" i="6" s="1"/>
  <c r="M396" i="6" s="1"/>
  <c r="C396" i="6"/>
  <c r="D390" i="6"/>
  <c r="E384" i="6"/>
  <c r="N384" i="6" s="1"/>
  <c r="O384" i="6" s="1"/>
  <c r="G378" i="6"/>
  <c r="I372" i="6"/>
  <c r="J372" i="6" s="1"/>
  <c r="C372" i="6"/>
  <c r="D366" i="6"/>
  <c r="E360" i="6"/>
  <c r="G354" i="6"/>
  <c r="I353" i="6"/>
  <c r="J353" i="6" s="1"/>
  <c r="C353" i="6"/>
  <c r="D352" i="6"/>
  <c r="C655" i="6"/>
  <c r="I645" i="6"/>
  <c r="J645" i="6" s="1"/>
  <c r="G642" i="6"/>
  <c r="E633" i="6"/>
  <c r="D630" i="6"/>
  <c r="G622" i="6"/>
  <c r="C621" i="6"/>
  <c r="E619" i="6"/>
  <c r="N619" i="6" s="1"/>
  <c r="I617" i="6"/>
  <c r="J617" i="6" s="1"/>
  <c r="M617" i="6" s="1"/>
  <c r="D616" i="6"/>
  <c r="G608" i="6"/>
  <c r="C607" i="6"/>
  <c r="E605" i="6"/>
  <c r="N605" i="6" s="1"/>
  <c r="O605" i="6" s="1"/>
  <c r="E604" i="6"/>
  <c r="N604" i="6" s="1"/>
  <c r="D603" i="6"/>
  <c r="D596" i="6"/>
  <c r="D595" i="6"/>
  <c r="C594" i="6"/>
  <c r="C593" i="6"/>
  <c r="C592" i="6"/>
  <c r="I590" i="6"/>
  <c r="J590" i="6" s="1"/>
  <c r="I583" i="6"/>
  <c r="J583" i="6" s="1"/>
  <c r="I577" i="6"/>
  <c r="J577" i="6" s="1"/>
  <c r="M577" i="6" s="1"/>
  <c r="G571" i="6"/>
  <c r="G548" i="6"/>
  <c r="G547" i="6"/>
  <c r="E541" i="6"/>
  <c r="E535" i="6"/>
  <c r="N535" i="6" s="1"/>
  <c r="E534" i="6"/>
  <c r="N534" i="6" s="1"/>
  <c r="D528" i="6"/>
  <c r="D527" i="6"/>
  <c r="D521" i="6"/>
  <c r="C520" i="6"/>
  <c r="C494" i="6"/>
  <c r="C493" i="6"/>
  <c r="I491" i="6"/>
  <c r="J491" i="6" s="1"/>
  <c r="M491" i="6" s="1"/>
  <c r="I490" i="6"/>
  <c r="J490" i="6" s="1"/>
  <c r="M490" i="6" s="1"/>
  <c r="I489" i="6"/>
  <c r="J489" i="6" s="1"/>
  <c r="M489" i="6" s="1"/>
  <c r="G488" i="6"/>
  <c r="G481" i="6"/>
  <c r="G480" i="6"/>
  <c r="E479" i="6"/>
  <c r="G478" i="6"/>
  <c r="I477" i="6"/>
  <c r="J477" i="6" s="1"/>
  <c r="C477" i="6"/>
  <c r="D476" i="6"/>
  <c r="E475" i="6"/>
  <c r="N475" i="6" s="1"/>
  <c r="G468" i="6"/>
  <c r="I467" i="6"/>
  <c r="J467" i="6" s="1"/>
  <c r="M467" i="6" s="1"/>
  <c r="C467" i="6"/>
  <c r="D466" i="6"/>
  <c r="E465" i="6"/>
  <c r="N465" i="6" s="1"/>
  <c r="G464" i="6"/>
  <c r="I463" i="6"/>
  <c r="J463" i="6" s="1"/>
  <c r="M463" i="6" s="1"/>
  <c r="C463" i="6"/>
  <c r="D462" i="6"/>
  <c r="E455" i="6"/>
  <c r="N455" i="6" s="1"/>
  <c r="G454" i="6"/>
  <c r="I453" i="6"/>
  <c r="J453" i="6" s="1"/>
  <c r="C453" i="6"/>
  <c r="D452" i="6"/>
  <c r="E451" i="6"/>
  <c r="G444" i="6"/>
  <c r="I438" i="6"/>
  <c r="J438" i="6" s="1"/>
  <c r="M438" i="6" s="1"/>
  <c r="C438" i="6"/>
  <c r="D432" i="6"/>
  <c r="E426" i="6"/>
  <c r="G420" i="6"/>
  <c r="I414" i="6"/>
  <c r="J414" i="6" s="1"/>
  <c r="M414" i="6" s="1"/>
  <c r="C414" i="6"/>
  <c r="D408" i="6"/>
  <c r="E402" i="6"/>
  <c r="G396" i="6"/>
  <c r="I390" i="6"/>
  <c r="J390" i="6" s="1"/>
  <c r="C390" i="6"/>
  <c r="D384" i="6"/>
  <c r="E378" i="6"/>
  <c r="G372" i="6"/>
  <c r="I366" i="6"/>
  <c r="J366" i="6" s="1"/>
  <c r="C366" i="6"/>
  <c r="D360" i="6"/>
  <c r="E354" i="6"/>
  <c r="G353" i="6"/>
  <c r="I352" i="6"/>
  <c r="J352" i="6" s="1"/>
  <c r="C352" i="6"/>
  <c r="G656" i="6"/>
  <c r="I631" i="6"/>
  <c r="J631" i="6" s="1"/>
  <c r="G618" i="6"/>
  <c r="D606" i="6"/>
  <c r="G595" i="6"/>
  <c r="E591" i="6"/>
  <c r="N591" i="6" s="1"/>
  <c r="D571" i="6"/>
  <c r="I534" i="6"/>
  <c r="J534" i="6" s="1"/>
  <c r="M534" i="6" s="1"/>
  <c r="G520" i="6"/>
  <c r="E491" i="6"/>
  <c r="N491" i="6" s="1"/>
  <c r="C481" i="6"/>
  <c r="E477" i="6"/>
  <c r="N477" i="6" s="1"/>
  <c r="D468" i="6"/>
  <c r="C465" i="6"/>
  <c r="I455" i="6"/>
  <c r="J455" i="6" s="1"/>
  <c r="M455" i="6" s="1"/>
  <c r="G452" i="6"/>
  <c r="E438" i="6"/>
  <c r="D420" i="6"/>
  <c r="C402" i="6"/>
  <c r="I378" i="6"/>
  <c r="J378" i="6" s="1"/>
  <c r="M378" i="6" s="1"/>
  <c r="G360" i="6"/>
  <c r="E352" i="6"/>
  <c r="D342" i="6"/>
  <c r="E341" i="6"/>
  <c r="G340" i="6"/>
  <c r="I339" i="6"/>
  <c r="J339" i="6" s="1"/>
  <c r="C339" i="6"/>
  <c r="D338" i="6"/>
  <c r="E337" i="6"/>
  <c r="G336" i="6"/>
  <c r="I329" i="6"/>
  <c r="J329" i="6" s="1"/>
  <c r="C329" i="6"/>
  <c r="D328" i="6"/>
  <c r="E320" i="6"/>
  <c r="G319" i="6"/>
  <c r="I311" i="6"/>
  <c r="J311" i="6" s="1"/>
  <c r="M311" i="6" s="1"/>
  <c r="C311" i="6"/>
  <c r="D310" i="6"/>
  <c r="E302" i="6"/>
  <c r="N302" i="6" s="1"/>
  <c r="G296" i="6"/>
  <c r="I290" i="6"/>
  <c r="J290" i="6" s="1"/>
  <c r="M290" i="6" s="1"/>
  <c r="C290" i="6"/>
  <c r="D284" i="6"/>
  <c r="E262" i="6"/>
  <c r="N262" i="6" s="1"/>
  <c r="G261" i="6"/>
  <c r="I260" i="6"/>
  <c r="J260" i="6" s="1"/>
  <c r="C260" i="6"/>
  <c r="D259" i="6"/>
  <c r="E258" i="6"/>
  <c r="N258" i="6" s="1"/>
  <c r="G257" i="6"/>
  <c r="I256" i="6"/>
  <c r="J256" i="6" s="1"/>
  <c r="M256" i="6" s="1"/>
  <c r="C256" i="6"/>
  <c r="D249" i="6"/>
  <c r="E248" i="6"/>
  <c r="N248" i="6" s="1"/>
  <c r="G247" i="6"/>
  <c r="I246" i="6"/>
  <c r="J246" i="6" s="1"/>
  <c r="C246" i="6"/>
  <c r="D245" i="6"/>
  <c r="E244" i="6"/>
  <c r="N244" i="6" s="1"/>
  <c r="G243" i="6"/>
  <c r="I235" i="6"/>
  <c r="J235" i="6" s="1"/>
  <c r="C235" i="6"/>
  <c r="D234" i="6"/>
  <c r="E233" i="6"/>
  <c r="N233" i="6" s="1"/>
  <c r="G232" i="6"/>
  <c r="I231" i="6"/>
  <c r="J231" i="6" s="1"/>
  <c r="M231" i="6" s="1"/>
  <c r="C231" i="6"/>
  <c r="D210" i="6"/>
  <c r="E209" i="6"/>
  <c r="N209" i="6" s="1"/>
  <c r="G208" i="6"/>
  <c r="I207" i="6"/>
  <c r="J207" i="6" s="1"/>
  <c r="C207" i="6"/>
  <c r="D206" i="6"/>
  <c r="E205" i="6"/>
  <c r="N205" i="6" s="1"/>
  <c r="G204" i="6"/>
  <c r="I203" i="6"/>
  <c r="J203" i="6" s="1"/>
  <c r="M203" i="6" s="1"/>
  <c r="C203" i="6"/>
  <c r="D202" i="6"/>
  <c r="E201" i="6"/>
  <c r="N201" i="6" s="1"/>
  <c r="G192" i="6"/>
  <c r="I191" i="6"/>
  <c r="J191" i="6" s="1"/>
  <c r="M191" i="6" s="1"/>
  <c r="C191" i="6"/>
  <c r="D190" i="6"/>
  <c r="E189" i="6"/>
  <c r="G181" i="6"/>
  <c r="I180" i="6"/>
  <c r="J180" i="6" s="1"/>
  <c r="C180" i="6"/>
  <c r="D165" i="6"/>
  <c r="E164" i="6"/>
  <c r="N164" i="6" s="1"/>
  <c r="G163" i="6"/>
  <c r="I162" i="6"/>
  <c r="J162" i="6" s="1"/>
  <c r="M162" i="6" s="1"/>
  <c r="C162" i="6"/>
  <c r="D161" i="6"/>
  <c r="E160" i="6"/>
  <c r="G159" i="6"/>
  <c r="I158" i="6"/>
  <c r="J158" i="6" s="1"/>
  <c r="C158" i="6"/>
  <c r="D157" i="6"/>
  <c r="E156" i="6"/>
  <c r="N156" i="6" s="1"/>
  <c r="G147" i="6"/>
  <c r="I139" i="6"/>
  <c r="J139" i="6" s="1"/>
  <c r="C139" i="6"/>
  <c r="D138" i="6"/>
  <c r="G137" i="6"/>
  <c r="I136" i="6"/>
  <c r="J136" i="6" s="1"/>
  <c r="M136" i="6" s="1"/>
  <c r="C136" i="6"/>
  <c r="E135" i="6"/>
  <c r="N135" i="6" s="1"/>
  <c r="G134" i="6"/>
  <c r="D126" i="6"/>
  <c r="E125" i="6"/>
  <c r="N125" i="6" s="1"/>
  <c r="G124" i="6"/>
  <c r="I123" i="6"/>
  <c r="J123" i="6" s="1"/>
  <c r="M123" i="6" s="1"/>
  <c r="C123" i="6"/>
  <c r="D115" i="6"/>
  <c r="E114" i="6"/>
  <c r="N114" i="6" s="1"/>
  <c r="G113" i="6"/>
  <c r="I112" i="6"/>
  <c r="J112" i="6" s="1"/>
  <c r="M112" i="6" s="1"/>
  <c r="C112" i="6"/>
  <c r="D111" i="6"/>
  <c r="E110" i="6"/>
  <c r="G109" i="6"/>
  <c r="I101" i="6"/>
  <c r="J101" i="6" s="1"/>
  <c r="C101" i="6"/>
  <c r="D93" i="6"/>
  <c r="E85" i="6"/>
  <c r="G68" i="6"/>
  <c r="I67" i="6"/>
  <c r="J67" i="6" s="1"/>
  <c r="C67" i="6"/>
  <c r="D60" i="6"/>
  <c r="E52" i="6"/>
  <c r="N52" i="6" s="1"/>
  <c r="G51" i="6"/>
  <c r="I34" i="6"/>
  <c r="J34" i="6" s="1"/>
  <c r="C34" i="6"/>
  <c r="E647" i="6"/>
  <c r="E629" i="6"/>
  <c r="C617" i="6"/>
  <c r="I604" i="6"/>
  <c r="J604" i="6" s="1"/>
  <c r="M604" i="6" s="1"/>
  <c r="G594" i="6"/>
  <c r="E590" i="6"/>
  <c r="N590" i="6" s="1"/>
  <c r="C548" i="6"/>
  <c r="I528" i="6"/>
  <c r="J528" i="6" s="1"/>
  <c r="M528" i="6" s="1"/>
  <c r="G494" i="6"/>
  <c r="D490" i="6"/>
  <c r="C480" i="6"/>
  <c r="G476" i="6"/>
  <c r="E467" i="6"/>
  <c r="N467" i="6" s="1"/>
  <c r="O467" i="6" s="1"/>
  <c r="D464" i="6"/>
  <c r="C455" i="6"/>
  <c r="I451" i="6"/>
  <c r="J451" i="6" s="1"/>
  <c r="G432" i="6"/>
  <c r="E414" i="6"/>
  <c r="D396" i="6"/>
  <c r="C378" i="6"/>
  <c r="I354" i="6"/>
  <c r="J354" i="6" s="1"/>
  <c r="I342" i="6"/>
  <c r="J342" i="6" s="1"/>
  <c r="C342" i="6"/>
  <c r="D341" i="6"/>
  <c r="E340" i="6"/>
  <c r="G339" i="6"/>
  <c r="I338" i="6"/>
  <c r="J338" i="6" s="1"/>
  <c r="C338" i="6"/>
  <c r="D337" i="6"/>
  <c r="E336" i="6"/>
  <c r="N336" i="6" s="1"/>
  <c r="G329" i="6"/>
  <c r="I328" i="6"/>
  <c r="J328" i="6" s="1"/>
  <c r="C328" i="6"/>
  <c r="D320" i="6"/>
  <c r="E319" i="6"/>
  <c r="N319" i="6" s="1"/>
  <c r="G311" i="6"/>
  <c r="I310" i="6"/>
  <c r="J310" i="6" s="1"/>
  <c r="M310" i="6" s="1"/>
  <c r="C310" i="6"/>
  <c r="D302" i="6"/>
  <c r="E296" i="6"/>
  <c r="N296" i="6" s="1"/>
  <c r="G290" i="6"/>
  <c r="I284" i="6"/>
  <c r="J284" i="6" s="1"/>
  <c r="M284" i="6" s="1"/>
  <c r="C284" i="6"/>
  <c r="D262" i="6"/>
  <c r="E261" i="6"/>
  <c r="N261" i="6" s="1"/>
  <c r="G260" i="6"/>
  <c r="I259" i="6"/>
  <c r="J259" i="6" s="1"/>
  <c r="C259" i="6"/>
  <c r="D258" i="6"/>
  <c r="E257" i="6"/>
  <c r="G256" i="6"/>
  <c r="I249" i="6"/>
  <c r="J249" i="6" s="1"/>
  <c r="M249" i="6" s="1"/>
  <c r="C249" i="6"/>
  <c r="D248" i="6"/>
  <c r="E247" i="6"/>
  <c r="G246" i="6"/>
  <c r="I245" i="6"/>
  <c r="J245" i="6" s="1"/>
  <c r="C245" i="6"/>
  <c r="D244" i="6"/>
  <c r="E243" i="6"/>
  <c r="G235" i="6"/>
  <c r="I234" i="6"/>
  <c r="J234" i="6" s="1"/>
  <c r="C234" i="6"/>
  <c r="D233" i="6"/>
  <c r="E232" i="6"/>
  <c r="N232" i="6" s="1"/>
  <c r="G231" i="6"/>
  <c r="I210" i="6"/>
  <c r="J210" i="6" s="1"/>
  <c r="C210" i="6"/>
  <c r="D209" i="6"/>
  <c r="E208" i="6"/>
  <c r="N208" i="6" s="1"/>
  <c r="G207" i="6"/>
  <c r="I206" i="6"/>
  <c r="J206" i="6" s="1"/>
  <c r="C206" i="6"/>
  <c r="D205" i="6"/>
  <c r="E204" i="6"/>
  <c r="N204" i="6" s="1"/>
  <c r="G203" i="6"/>
  <c r="I202" i="6"/>
  <c r="J202" i="6" s="1"/>
  <c r="M202" i="6" s="1"/>
  <c r="C202" i="6"/>
  <c r="D201" i="6"/>
  <c r="E192" i="6"/>
  <c r="N192" i="6" s="1"/>
  <c r="G191" i="6"/>
  <c r="I190" i="6"/>
  <c r="J190" i="6" s="1"/>
  <c r="C190" i="6"/>
  <c r="D189" i="6"/>
  <c r="E181" i="6"/>
  <c r="G180" i="6"/>
  <c r="I165" i="6"/>
  <c r="J165" i="6" s="1"/>
  <c r="M165" i="6" s="1"/>
  <c r="C165" i="6"/>
  <c r="D164" i="6"/>
  <c r="E163" i="6"/>
  <c r="N163" i="6" s="1"/>
  <c r="G162" i="6"/>
  <c r="I161" i="6"/>
  <c r="J161" i="6" s="1"/>
  <c r="C161" i="6"/>
  <c r="D160" i="6"/>
  <c r="E159" i="6"/>
  <c r="N159" i="6" s="1"/>
  <c r="G158" i="6"/>
  <c r="I157" i="6"/>
  <c r="J157" i="6" s="1"/>
  <c r="C157" i="6"/>
  <c r="D156" i="6"/>
  <c r="E147" i="6"/>
  <c r="N147" i="6" s="1"/>
  <c r="G139" i="6"/>
  <c r="I138" i="6"/>
  <c r="J138" i="6" s="1"/>
  <c r="C138" i="6"/>
  <c r="E137" i="6"/>
  <c r="N137" i="6" s="1"/>
  <c r="G136" i="6"/>
  <c r="D135" i="6"/>
  <c r="E134" i="6"/>
  <c r="N134" i="6" s="1"/>
  <c r="I126" i="6"/>
  <c r="J126" i="6" s="1"/>
  <c r="C126" i="6"/>
  <c r="D125" i="6"/>
  <c r="E124" i="6"/>
  <c r="N124" i="6" s="1"/>
  <c r="G123" i="6"/>
  <c r="I115" i="6"/>
  <c r="J115" i="6" s="1"/>
  <c r="M115" i="6" s="1"/>
  <c r="C115" i="6"/>
  <c r="D114" i="6"/>
  <c r="E113" i="6"/>
  <c r="N113" i="6" s="1"/>
  <c r="G112" i="6"/>
  <c r="I111" i="6"/>
  <c r="J111" i="6" s="1"/>
  <c r="C111" i="6"/>
  <c r="D110" i="6"/>
  <c r="E109" i="6"/>
  <c r="N109" i="6" s="1"/>
  <c r="G101" i="6"/>
  <c r="I93" i="6"/>
  <c r="J93" i="6" s="1"/>
  <c r="M93" i="6" s="1"/>
  <c r="C93" i="6"/>
  <c r="D85" i="6"/>
  <c r="E68" i="6"/>
  <c r="N68" i="6" s="1"/>
  <c r="G67" i="6"/>
  <c r="I60" i="6"/>
  <c r="J60" i="6" s="1"/>
  <c r="C60" i="6"/>
  <c r="D52" i="6"/>
  <c r="E51" i="6"/>
  <c r="N51" i="6" s="1"/>
  <c r="G34" i="6"/>
  <c r="I28" i="6"/>
  <c r="J28" i="6" s="1"/>
  <c r="C28" i="6"/>
  <c r="D22" i="6"/>
  <c r="E21" i="6"/>
  <c r="G20" i="6"/>
  <c r="I19" i="6"/>
  <c r="J19" i="6" s="1"/>
  <c r="C19" i="6"/>
  <c r="I336" i="6"/>
  <c r="J336" i="6" s="1"/>
  <c r="M336" i="6" s="1"/>
  <c r="D329" i="6"/>
  <c r="E328" i="6"/>
  <c r="N328" i="6" s="1"/>
  <c r="C319" i="6"/>
  <c r="E310" i="6"/>
  <c r="N310" i="6" s="1"/>
  <c r="I296" i="6"/>
  <c r="J296" i="6" s="1"/>
  <c r="D290" i="6"/>
  <c r="G262" i="6"/>
  <c r="C261" i="6"/>
  <c r="E259" i="6"/>
  <c r="N259" i="6" s="1"/>
  <c r="I257" i="6"/>
  <c r="J257" i="6" s="1"/>
  <c r="M257" i="6" s="1"/>
  <c r="D256" i="6"/>
  <c r="G248" i="6"/>
  <c r="C247" i="6"/>
  <c r="E245" i="6"/>
  <c r="I243" i="6"/>
  <c r="J243" i="6" s="1"/>
  <c r="D235" i="6"/>
  <c r="G233" i="6"/>
  <c r="C232" i="6"/>
  <c r="E210" i="6"/>
  <c r="N210" i="6" s="1"/>
  <c r="I208" i="6"/>
  <c r="J208" i="6" s="1"/>
  <c r="M208" i="6" s="1"/>
  <c r="D207" i="6"/>
  <c r="G205" i="6"/>
  <c r="C204" i="6"/>
  <c r="E202" i="6"/>
  <c r="N202" i="6" s="1"/>
  <c r="I192" i="6"/>
  <c r="J192" i="6" s="1"/>
  <c r="M192" i="6" s="1"/>
  <c r="E190" i="6"/>
  <c r="I181" i="6"/>
  <c r="J181" i="6" s="1"/>
  <c r="C181" i="6"/>
  <c r="E165" i="6"/>
  <c r="N165" i="6" s="1"/>
  <c r="D644" i="6"/>
  <c r="I621" i="6"/>
  <c r="J621" i="6" s="1"/>
  <c r="E609" i="6"/>
  <c r="N609" i="6" s="1"/>
  <c r="I603" i="6"/>
  <c r="J603" i="6" s="1"/>
  <c r="M603" i="6" s="1"/>
  <c r="G593" i="6"/>
  <c r="D583" i="6"/>
  <c r="C547" i="6"/>
  <c r="I527" i="6"/>
  <c r="J527" i="6" s="1"/>
  <c r="E493" i="6"/>
  <c r="N493" i="6" s="1"/>
  <c r="D489" i="6"/>
  <c r="C479" i="6"/>
  <c r="I475" i="6"/>
  <c r="J475" i="6" s="1"/>
  <c r="M475" i="6" s="1"/>
  <c r="G466" i="6"/>
  <c r="E463" i="6"/>
  <c r="D454" i="6"/>
  <c r="C451" i="6"/>
  <c r="I426" i="6"/>
  <c r="J426" i="6" s="1"/>
  <c r="G408" i="6"/>
  <c r="E390" i="6"/>
  <c r="N390" i="6" s="1"/>
  <c r="D372" i="6"/>
  <c r="C354" i="6"/>
  <c r="G342" i="6"/>
  <c r="I341" i="6"/>
  <c r="J341" i="6" s="1"/>
  <c r="C341" i="6"/>
  <c r="D340" i="6"/>
  <c r="E339" i="6"/>
  <c r="N339" i="6" s="1"/>
  <c r="G338" i="6"/>
  <c r="I337" i="6"/>
  <c r="J337" i="6" s="1"/>
  <c r="M337" i="6" s="1"/>
  <c r="C337" i="6"/>
  <c r="D336" i="6"/>
  <c r="E329" i="6"/>
  <c r="N329" i="6" s="1"/>
  <c r="G328" i="6"/>
  <c r="I320" i="6"/>
  <c r="J320" i="6" s="1"/>
  <c r="C320" i="6"/>
  <c r="D319" i="6"/>
  <c r="E311" i="6"/>
  <c r="N311" i="6" s="1"/>
  <c r="O311" i="6" s="1"/>
  <c r="G310" i="6"/>
  <c r="I302" i="6"/>
  <c r="J302" i="6" s="1"/>
  <c r="M302" i="6" s="1"/>
  <c r="C302" i="6"/>
  <c r="D296" i="6"/>
  <c r="E290" i="6"/>
  <c r="N290" i="6" s="1"/>
  <c r="G284" i="6"/>
  <c r="I262" i="6"/>
  <c r="J262" i="6" s="1"/>
  <c r="C262" i="6"/>
  <c r="D261" i="6"/>
  <c r="E260" i="6"/>
  <c r="N260" i="6" s="1"/>
  <c r="G259" i="6"/>
  <c r="I258" i="6"/>
  <c r="J258" i="6" s="1"/>
  <c r="M258" i="6" s="1"/>
  <c r="C258" i="6"/>
  <c r="D257" i="6"/>
  <c r="E256" i="6"/>
  <c r="N256" i="6" s="1"/>
  <c r="G249" i="6"/>
  <c r="I248" i="6"/>
  <c r="J248" i="6" s="1"/>
  <c r="M248" i="6" s="1"/>
  <c r="C248" i="6"/>
  <c r="D247" i="6"/>
  <c r="E246" i="6"/>
  <c r="G245" i="6"/>
  <c r="I244" i="6"/>
  <c r="J244" i="6" s="1"/>
  <c r="C244" i="6"/>
  <c r="D243" i="6"/>
  <c r="E235" i="6"/>
  <c r="G234" i="6"/>
  <c r="I233" i="6"/>
  <c r="J233" i="6" s="1"/>
  <c r="C233" i="6"/>
  <c r="D232" i="6"/>
  <c r="E231" i="6"/>
  <c r="G210" i="6"/>
  <c r="I209" i="6"/>
  <c r="J209" i="6" s="1"/>
  <c r="M209" i="6" s="1"/>
  <c r="O209" i="6" s="1"/>
  <c r="C209" i="6"/>
  <c r="D208" i="6"/>
  <c r="E207" i="6"/>
  <c r="N207" i="6" s="1"/>
  <c r="G206" i="6"/>
  <c r="I205" i="6"/>
  <c r="J205" i="6" s="1"/>
  <c r="C205" i="6"/>
  <c r="D204" i="6"/>
  <c r="E203" i="6"/>
  <c r="N203" i="6" s="1"/>
  <c r="O203" i="6" s="1"/>
  <c r="G202" i="6"/>
  <c r="I201" i="6"/>
  <c r="J201" i="6" s="1"/>
  <c r="M201" i="6" s="1"/>
  <c r="C201" i="6"/>
  <c r="D192" i="6"/>
  <c r="E191" i="6"/>
  <c r="N191" i="6" s="1"/>
  <c r="G190" i="6"/>
  <c r="I189" i="6"/>
  <c r="J189" i="6" s="1"/>
  <c r="C189" i="6"/>
  <c r="D181" i="6"/>
  <c r="E180" i="6"/>
  <c r="G165" i="6"/>
  <c r="I164" i="6"/>
  <c r="J164" i="6" s="1"/>
  <c r="C164" i="6"/>
  <c r="D163" i="6"/>
  <c r="E162" i="6"/>
  <c r="N162" i="6" s="1"/>
  <c r="G161" i="6"/>
  <c r="I160" i="6"/>
  <c r="J160" i="6" s="1"/>
  <c r="C160" i="6"/>
  <c r="D159" i="6"/>
  <c r="E158" i="6"/>
  <c r="N158" i="6" s="1"/>
  <c r="G157" i="6"/>
  <c r="I156" i="6"/>
  <c r="J156" i="6" s="1"/>
  <c r="M156" i="6" s="1"/>
  <c r="C156" i="6"/>
  <c r="D147" i="6"/>
  <c r="E139" i="6"/>
  <c r="N139" i="6" s="1"/>
  <c r="G138" i="6"/>
  <c r="D137" i="6"/>
  <c r="E136" i="6"/>
  <c r="N136" i="6" s="1"/>
  <c r="O136" i="6" s="1"/>
  <c r="I135" i="6"/>
  <c r="J135" i="6" s="1"/>
  <c r="M135" i="6" s="1"/>
  <c r="C135" i="6"/>
  <c r="D134" i="6"/>
  <c r="G126" i="6"/>
  <c r="I125" i="6"/>
  <c r="J125" i="6" s="1"/>
  <c r="C125" i="6"/>
  <c r="D124" i="6"/>
  <c r="E123" i="6"/>
  <c r="N123" i="6" s="1"/>
  <c r="O123" i="6" s="1"/>
  <c r="G115" i="6"/>
  <c r="I114" i="6"/>
  <c r="J114" i="6" s="1"/>
  <c r="M114" i="6" s="1"/>
  <c r="C114" i="6"/>
  <c r="D113" i="6"/>
  <c r="E112" i="6"/>
  <c r="N112" i="6" s="1"/>
  <c r="G111" i="6"/>
  <c r="I110" i="6"/>
  <c r="J110" i="6" s="1"/>
  <c r="C110" i="6"/>
  <c r="D109" i="6"/>
  <c r="E101" i="6"/>
  <c r="G93" i="6"/>
  <c r="I85" i="6"/>
  <c r="J85" i="6" s="1"/>
  <c r="C85" i="6"/>
  <c r="D68" i="6"/>
  <c r="E67" i="6"/>
  <c r="N67" i="6" s="1"/>
  <c r="G60" i="6"/>
  <c r="I52" i="6"/>
  <c r="J52" i="6" s="1"/>
  <c r="M52" i="6" s="1"/>
  <c r="C52" i="6"/>
  <c r="D51" i="6"/>
  <c r="E34" i="6"/>
  <c r="G28" i="6"/>
  <c r="I22" i="6"/>
  <c r="J22" i="6" s="1"/>
  <c r="C22" i="6"/>
  <c r="D21" i="6"/>
  <c r="E20" i="6"/>
  <c r="G19" i="6"/>
  <c r="G337" i="6"/>
  <c r="C336" i="6"/>
  <c r="G320" i="6"/>
  <c r="I319" i="6"/>
  <c r="J319" i="6" s="1"/>
  <c r="D311" i="6"/>
  <c r="G302" i="6"/>
  <c r="C296" i="6"/>
  <c r="E284" i="6"/>
  <c r="N284" i="6" s="1"/>
  <c r="I261" i="6"/>
  <c r="J261" i="6" s="1"/>
  <c r="D260" i="6"/>
  <c r="G258" i="6"/>
  <c r="C257" i="6"/>
  <c r="E249" i="6"/>
  <c r="N249" i="6" s="1"/>
  <c r="O249" i="6" s="1"/>
  <c r="I247" i="6"/>
  <c r="J247" i="6" s="1"/>
  <c r="D246" i="6"/>
  <c r="G244" i="6"/>
  <c r="C243" i="6"/>
  <c r="E234" i="6"/>
  <c r="N234" i="6" s="1"/>
  <c r="I232" i="6"/>
  <c r="J232" i="6" s="1"/>
  <c r="D231" i="6"/>
  <c r="G209" i="6"/>
  <c r="C208" i="6"/>
  <c r="E206" i="6"/>
  <c r="N206" i="6" s="1"/>
  <c r="I204" i="6"/>
  <c r="J204" i="6" s="1"/>
  <c r="M204" i="6" s="1"/>
  <c r="D203" i="6"/>
  <c r="G201" i="6"/>
  <c r="C192" i="6"/>
  <c r="D191" i="6"/>
  <c r="G189" i="6"/>
  <c r="D180" i="6"/>
  <c r="G164" i="6"/>
  <c r="C635" i="6"/>
  <c r="D620" i="6"/>
  <c r="I607" i="6"/>
  <c r="J607" i="6" s="1"/>
  <c r="M607" i="6" s="1"/>
  <c r="I596" i="6"/>
  <c r="J596" i="6" s="1"/>
  <c r="M596" i="6" s="1"/>
  <c r="E592" i="6"/>
  <c r="N592" i="6" s="1"/>
  <c r="D577" i="6"/>
  <c r="C541" i="6"/>
  <c r="G521" i="6"/>
  <c r="E492" i="6"/>
  <c r="N492" i="6" s="1"/>
  <c r="D488" i="6"/>
  <c r="D478" i="6"/>
  <c r="C475" i="6"/>
  <c r="I465" i="6"/>
  <c r="J465" i="6" s="1"/>
  <c r="M465" i="6" s="1"/>
  <c r="G462" i="6"/>
  <c r="E453" i="6"/>
  <c r="D444" i="6"/>
  <c r="C426" i="6"/>
  <c r="I402" i="6"/>
  <c r="J402" i="6" s="1"/>
  <c r="G384" i="6"/>
  <c r="E366" i="6"/>
  <c r="D353" i="6"/>
  <c r="E342" i="6"/>
  <c r="G341" i="6"/>
  <c r="I340" i="6"/>
  <c r="J340" i="6" s="1"/>
  <c r="C340" i="6"/>
  <c r="D339" i="6"/>
  <c r="E338" i="6"/>
  <c r="N338" i="6" s="1"/>
  <c r="I163" i="6"/>
  <c r="J163" i="6" s="1"/>
  <c r="G160" i="6"/>
  <c r="E157" i="6"/>
  <c r="N157" i="6" s="1"/>
  <c r="D139" i="6"/>
  <c r="D136" i="6"/>
  <c r="E126" i="6"/>
  <c r="N126" i="6" s="1"/>
  <c r="D123" i="6"/>
  <c r="C113" i="6"/>
  <c r="I109" i="6"/>
  <c r="J109" i="6" s="1"/>
  <c r="G85" i="6"/>
  <c r="E60" i="6"/>
  <c r="N60" i="6" s="1"/>
  <c r="D34" i="6"/>
  <c r="E22" i="6"/>
  <c r="I20" i="6"/>
  <c r="J20" i="6" s="1"/>
  <c r="D19" i="6"/>
  <c r="C163" i="6"/>
  <c r="I159" i="6"/>
  <c r="J159" i="6" s="1"/>
  <c r="G156" i="6"/>
  <c r="E138" i="6"/>
  <c r="N138" i="6" s="1"/>
  <c r="G135" i="6"/>
  <c r="G125" i="6"/>
  <c r="E115" i="6"/>
  <c r="N115" i="6" s="1"/>
  <c r="D112" i="6"/>
  <c r="C109" i="6"/>
  <c r="I68" i="6"/>
  <c r="J68" i="6" s="1"/>
  <c r="G52" i="6"/>
  <c r="E28" i="6"/>
  <c r="I21" i="6"/>
  <c r="J21" i="6" s="1"/>
  <c r="D20" i="6"/>
  <c r="D162" i="6"/>
  <c r="C159" i="6"/>
  <c r="I147" i="6"/>
  <c r="J147" i="6" s="1"/>
  <c r="I137" i="6"/>
  <c r="J137" i="6" s="1"/>
  <c r="I134" i="6"/>
  <c r="J134" i="6" s="1"/>
  <c r="M134" i="6" s="1"/>
  <c r="I124" i="6"/>
  <c r="J124" i="6" s="1"/>
  <c r="M124" i="6" s="1"/>
  <c r="G114" i="6"/>
  <c r="E111" i="6"/>
  <c r="D101" i="6"/>
  <c r="C68" i="6"/>
  <c r="I51" i="6"/>
  <c r="J51" i="6" s="1"/>
  <c r="D28" i="6"/>
  <c r="G21" i="6"/>
  <c r="C20" i="6"/>
  <c r="C21" i="6"/>
  <c r="E161" i="6"/>
  <c r="D158" i="6"/>
  <c r="C147" i="6"/>
  <c r="C137" i="6"/>
  <c r="C134" i="6"/>
  <c r="C124" i="6"/>
  <c r="I113" i="6"/>
  <c r="J113" i="6" s="1"/>
  <c r="M113" i="6" s="1"/>
  <c r="G110" i="6"/>
  <c r="E93" i="6"/>
  <c r="N93" i="6" s="1"/>
  <c r="D67" i="6"/>
  <c r="C51" i="6"/>
  <c r="G22" i="6"/>
  <c r="E19" i="6"/>
  <c r="L99" i="6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K21" i="1"/>
  <c r="K29" i="1"/>
  <c r="A5" i="3"/>
  <c r="K32" i="1"/>
  <c r="K36" i="1"/>
  <c r="K40" i="1"/>
  <c r="K44" i="1"/>
  <c r="K48" i="1"/>
  <c r="K52" i="1"/>
  <c r="K33" i="1"/>
  <c r="K37" i="1"/>
  <c r="K41" i="1"/>
  <c r="K45" i="1"/>
  <c r="K49" i="1"/>
  <c r="K34" i="1"/>
  <c r="K38" i="1"/>
  <c r="K42" i="1"/>
  <c r="K46" i="1"/>
  <c r="K50" i="1"/>
  <c r="K31" i="1"/>
  <c r="K35" i="1"/>
  <c r="K39" i="1"/>
  <c r="K43" i="1"/>
  <c r="K47" i="1"/>
  <c r="K51" i="1"/>
  <c r="K30" i="1"/>
  <c r="K15" i="1"/>
  <c r="K19" i="1"/>
  <c r="K23" i="1"/>
  <c r="K27" i="1"/>
  <c r="K25" i="1"/>
  <c r="K16" i="1"/>
  <c r="K20" i="1"/>
  <c r="K24" i="1"/>
  <c r="K28" i="1"/>
  <c r="K17" i="1"/>
  <c r="K14" i="1"/>
  <c r="K18" i="1"/>
  <c r="K22" i="1"/>
  <c r="K26" i="1"/>
  <c r="A2" i="3"/>
  <c r="J9" i="6"/>
  <c r="J9" i="2"/>
  <c r="J9" i="1"/>
  <c r="R221" i="2"/>
  <c r="N143" i="2"/>
  <c r="N113" i="2"/>
  <c r="N200" i="2"/>
  <c r="N46" i="2"/>
  <c r="M46" i="2"/>
  <c r="M200" i="2"/>
  <c r="M143" i="2"/>
  <c r="R253" i="2"/>
  <c r="O153" i="2"/>
  <c r="O213" i="2"/>
  <c r="O30" i="2"/>
  <c r="R27" i="2"/>
  <c r="R231" i="2"/>
  <c r="O27" i="2"/>
  <c r="R134" i="2"/>
  <c r="O84" i="2"/>
  <c r="O144" i="2"/>
  <c r="R100" i="2"/>
  <c r="R207" i="2"/>
  <c r="R187" i="2"/>
  <c r="O31" i="2"/>
  <c r="O265" i="2"/>
  <c r="R110" i="2"/>
  <c r="O202" i="2"/>
  <c r="R199" i="2"/>
  <c r="R141" i="2"/>
  <c r="R48" i="2"/>
  <c r="R23" i="2"/>
  <c r="R157" i="2"/>
  <c r="R151" i="2"/>
  <c r="R143" i="2"/>
  <c r="R59" i="2"/>
  <c r="R219" i="2"/>
  <c r="Q129" i="2"/>
  <c r="R102" i="2"/>
  <c r="R43" i="2"/>
  <c r="R136" i="2"/>
  <c r="R117" i="2"/>
  <c r="R101" i="2"/>
  <c r="R51" i="2"/>
  <c r="R42" i="2"/>
  <c r="Q260" i="2"/>
  <c r="O152" i="2"/>
  <c r="R127" i="2"/>
  <c r="R44" i="2"/>
  <c r="R35" i="2"/>
  <c r="O264" i="2"/>
  <c r="R259" i="2"/>
  <c r="Q252" i="2"/>
  <c r="Q212" i="2"/>
  <c r="Q201" i="2"/>
  <c r="R195" i="2"/>
  <c r="R159" i="2"/>
  <c r="R104" i="2"/>
  <c r="R263" i="2"/>
  <c r="R237" i="2"/>
  <c r="R217" i="2"/>
  <c r="Q185" i="2"/>
  <c r="Q145" i="2"/>
  <c r="R108" i="2"/>
  <c r="R56" i="2"/>
  <c r="R209" i="2"/>
  <c r="R152" i="2"/>
  <c r="R150" i="2"/>
  <c r="R120" i="2"/>
  <c r="R60" i="2"/>
  <c r="O25" i="2"/>
  <c r="O67" i="2"/>
  <c r="O133" i="2"/>
  <c r="O26" i="2"/>
  <c r="O211" i="2"/>
  <c r="O263" i="2"/>
  <c r="O29" i="2"/>
  <c r="O121" i="2"/>
  <c r="O83" i="2"/>
  <c r="O28" i="2"/>
  <c r="Q41" i="2"/>
  <c r="R41" i="2"/>
  <c r="Q45" i="2"/>
  <c r="R45" i="2"/>
  <c r="O201" i="2"/>
  <c r="R194" i="2"/>
  <c r="R186" i="2"/>
  <c r="R178" i="2"/>
  <c r="R170" i="2"/>
  <c r="R148" i="2"/>
  <c r="Q49" i="2"/>
  <c r="R49" i="2"/>
  <c r="R262" i="2"/>
  <c r="R250" i="2"/>
  <c r="R242" i="2"/>
  <c r="R234" i="2"/>
  <c r="R230" i="2"/>
  <c r="R226" i="2"/>
  <c r="R210" i="2"/>
  <c r="R165" i="2"/>
  <c r="R105" i="2"/>
  <c r="R92" i="2"/>
  <c r="R82" i="2"/>
  <c r="R76" i="2"/>
  <c r="R74" i="2"/>
  <c r="R72" i="2"/>
  <c r="R70" i="2"/>
  <c r="R66" i="2"/>
  <c r="R192" i="2"/>
  <c r="R184" i="2"/>
  <c r="R176" i="2"/>
  <c r="R160" i="2"/>
  <c r="Q53" i="2"/>
  <c r="R53" i="2"/>
  <c r="R166" i="2"/>
  <c r="Q37" i="2"/>
  <c r="R37" i="2"/>
  <c r="O135" i="2"/>
  <c r="R131" i="2"/>
  <c r="R115" i="2"/>
  <c r="R95" i="2"/>
  <c r="R93" i="2"/>
  <c r="R91" i="2"/>
  <c r="R89" i="2"/>
  <c r="R83" i="2"/>
  <c r="R81" i="2"/>
  <c r="Q65" i="2"/>
  <c r="R65" i="2"/>
  <c r="R36" i="2"/>
  <c r="R32" i="2"/>
  <c r="R28" i="2"/>
  <c r="R24" i="2"/>
  <c r="R20" i="2"/>
  <c r="R29" i="2"/>
  <c r="R25" i="2"/>
  <c r="R21" i="2"/>
  <c r="R34" i="2"/>
  <c r="R26" i="2"/>
  <c r="R22" i="2"/>
  <c r="R30" i="2"/>
  <c r="N620" i="6" l="1"/>
  <c r="O480" i="6"/>
  <c r="O491" i="6"/>
  <c r="O52" i="6"/>
  <c r="O248" i="6"/>
  <c r="N426" i="6"/>
  <c r="O596" i="6"/>
  <c r="O162" i="6"/>
  <c r="O256" i="6"/>
  <c r="O208" i="6"/>
  <c r="N438" i="6"/>
  <c r="O438" i="6" s="1"/>
  <c r="O488" i="6"/>
  <c r="O284" i="6"/>
  <c r="N476" i="6"/>
  <c r="O233" i="2"/>
  <c r="N243" i="6"/>
  <c r="N408" i="6"/>
  <c r="O408" i="6" s="1"/>
  <c r="O466" i="6"/>
  <c r="O490" i="6"/>
  <c r="O617" i="6"/>
  <c r="O93" i="6"/>
  <c r="N414" i="6"/>
  <c r="O414" i="6" s="1"/>
  <c r="O535" i="6"/>
  <c r="O455" i="6"/>
  <c r="O481" i="6"/>
  <c r="N607" i="6"/>
  <c r="O607" i="6" s="1"/>
  <c r="O310" i="6"/>
  <c r="O113" i="6"/>
  <c r="O258" i="6"/>
  <c r="N337" i="6"/>
  <c r="O337" i="6" s="1"/>
  <c r="N451" i="6"/>
  <c r="O604" i="6"/>
  <c r="O577" i="6"/>
  <c r="O202" i="6"/>
  <c r="O192" i="6"/>
  <c r="O115" i="6"/>
  <c r="O492" i="6"/>
  <c r="N231" i="6"/>
  <c r="O231" i="6" s="1"/>
  <c r="N463" i="6"/>
  <c r="O463" i="6" s="1"/>
  <c r="O124" i="6"/>
  <c r="O134" i="6"/>
  <c r="O165" i="6"/>
  <c r="O204" i="6"/>
  <c r="N378" i="6"/>
  <c r="O378" i="6" s="1"/>
  <c r="O534" i="6"/>
  <c r="O616" i="6"/>
  <c r="O454" i="6"/>
  <c r="N489" i="6"/>
  <c r="O489" i="6" s="1"/>
  <c r="O475" i="6"/>
  <c r="N366" i="6"/>
  <c r="O112" i="6"/>
  <c r="O191" i="6"/>
  <c r="O290" i="6"/>
  <c r="N257" i="6"/>
  <c r="O257" i="6" s="1"/>
  <c r="O336" i="6"/>
  <c r="O114" i="6"/>
  <c r="O135" i="6"/>
  <c r="O156" i="6"/>
  <c r="O201" i="6"/>
  <c r="O302" i="6"/>
  <c r="O465" i="6"/>
  <c r="N360" i="6"/>
  <c r="O595" i="6"/>
  <c r="N396" i="6"/>
  <c r="O396" i="6" s="1"/>
  <c r="O464" i="6"/>
  <c r="O548" i="6"/>
  <c r="O528" i="6"/>
  <c r="O603" i="6"/>
  <c r="L121" i="6"/>
  <c r="L122" i="6" s="1"/>
  <c r="L123" i="6" s="1"/>
  <c r="L124" i="6" s="1"/>
  <c r="L125" i="6" s="1"/>
  <c r="L126" i="6" s="1"/>
  <c r="L127" i="6" s="1"/>
  <c r="L128" i="6" s="1"/>
  <c r="L129" i="6" s="1"/>
  <c r="L130" i="6" s="1"/>
  <c r="M20" i="6"/>
  <c r="M381" i="6"/>
  <c r="M225" i="6"/>
  <c r="N151" i="6"/>
  <c r="M400" i="6"/>
  <c r="M170" i="6"/>
  <c r="N602" i="6"/>
  <c r="N647" i="6"/>
  <c r="N86" i="6"/>
  <c r="N533" i="6"/>
  <c r="M280" i="6"/>
  <c r="N479" i="6"/>
  <c r="M542" i="6"/>
  <c r="M235" i="6"/>
  <c r="N150" i="6"/>
  <c r="O150" i="6" s="1"/>
  <c r="M340" i="6"/>
  <c r="N368" i="6"/>
  <c r="N140" i="6"/>
  <c r="N635" i="6"/>
  <c r="N648" i="6"/>
  <c r="N542" i="6"/>
  <c r="O542" i="6" s="1"/>
  <c r="M402" i="6"/>
  <c r="M431" i="6"/>
  <c r="N661" i="6"/>
  <c r="N372" i="6"/>
  <c r="M181" i="6"/>
  <c r="M28" i="6"/>
  <c r="N100" i="6"/>
  <c r="M160" i="6"/>
  <c r="N236" i="6"/>
  <c r="M629" i="6"/>
  <c r="M367" i="6"/>
  <c r="N189" i="6"/>
  <c r="N373" i="6"/>
  <c r="M546" i="6"/>
  <c r="N622" i="6"/>
  <c r="N19" i="6"/>
  <c r="M151" i="6"/>
  <c r="M87" i="6"/>
  <c r="M141" i="6"/>
  <c r="M541" i="6"/>
  <c r="N601" i="6"/>
  <c r="N289" i="6"/>
  <c r="N110" i="6"/>
  <c r="M119" i="6"/>
  <c r="M140" i="6"/>
  <c r="N34" i="6"/>
  <c r="M189" i="6"/>
  <c r="N85" i="6"/>
  <c r="M89" i="6"/>
  <c r="N320" i="6"/>
  <c r="M434" i="6"/>
  <c r="N658" i="6"/>
  <c r="N22" i="6"/>
  <c r="M129" i="6"/>
  <c r="N216" i="6"/>
  <c r="M246" i="6"/>
  <c r="N341" i="6"/>
  <c r="M354" i="6"/>
  <c r="N435" i="6"/>
  <c r="M470" i="6"/>
  <c r="N571" i="6"/>
  <c r="M593" i="6"/>
  <c r="M412" i="6"/>
  <c r="W15" i="6"/>
  <c r="M34" i="6"/>
  <c r="M85" i="6"/>
  <c r="N89" i="6"/>
  <c r="O89" i="6" s="1"/>
  <c r="M150" i="6"/>
  <c r="N170" i="6"/>
  <c r="N271" i="6"/>
  <c r="N353" i="6"/>
  <c r="N462" i="6"/>
  <c r="N584" i="6"/>
  <c r="M612" i="6"/>
  <c r="M101" i="6"/>
  <c r="N246" i="6"/>
  <c r="N470" i="6"/>
  <c r="M621" i="6"/>
  <c r="M353" i="6"/>
  <c r="N434" i="6"/>
  <c r="O434" i="6" s="1"/>
  <c r="M584" i="6"/>
  <c r="N674" i="6"/>
  <c r="M658" i="6"/>
  <c r="N646" i="6"/>
  <c r="N670" i="6"/>
  <c r="M648" i="6"/>
  <c r="M672" i="6"/>
  <c r="M661" i="6"/>
  <c r="N655" i="6"/>
  <c r="M632" i="6"/>
  <c r="M622" i="6"/>
  <c r="N594" i="6"/>
  <c r="M568" i="6"/>
  <c r="N556" i="6"/>
  <c r="M533" i="6"/>
  <c r="N478" i="6"/>
  <c r="N412" i="6"/>
  <c r="O412" i="6" s="1"/>
  <c r="N367" i="6"/>
  <c r="O367" i="6" s="1"/>
  <c r="M331" i="6"/>
  <c r="N299" i="6"/>
  <c r="N671" i="6"/>
  <c r="N629" i="6"/>
  <c r="M583" i="6"/>
  <c r="N569" i="6"/>
  <c r="M547" i="6"/>
  <c r="N541" i="6"/>
  <c r="M453" i="6"/>
  <c r="N433" i="6"/>
  <c r="M401" i="6"/>
  <c r="N381" i="6"/>
  <c r="M352" i="6"/>
  <c r="N332" i="6"/>
  <c r="M673" i="6"/>
  <c r="M573" i="6"/>
  <c r="M444" i="6"/>
  <c r="N431" i="6"/>
  <c r="M343" i="6"/>
  <c r="N330" i="6"/>
  <c r="M236" i="6"/>
  <c r="N190" i="6"/>
  <c r="N141" i="6"/>
  <c r="O141" i="6" s="1"/>
  <c r="N42" i="6"/>
  <c r="M570" i="6"/>
  <c r="N428" i="6"/>
  <c r="M271" i="6"/>
  <c r="N644" i="6"/>
  <c r="M644" i="6"/>
  <c r="N673" i="6"/>
  <c r="O673" i="6" s="1"/>
  <c r="M657" i="6"/>
  <c r="N645" i="6"/>
  <c r="M674" i="6"/>
  <c r="N668" i="6"/>
  <c r="N582" i="6"/>
  <c r="M558" i="6"/>
  <c r="N546" i="6"/>
  <c r="N452" i="6"/>
  <c r="M428" i="6"/>
  <c r="N400" i="6"/>
  <c r="M369" i="6"/>
  <c r="N344" i="6"/>
  <c r="M320" i="6"/>
  <c r="N657" i="6"/>
  <c r="N611" i="6"/>
  <c r="M571" i="6"/>
  <c r="N559" i="6"/>
  <c r="M543" i="6"/>
  <c r="N495" i="6"/>
  <c r="M435" i="6"/>
  <c r="N429" i="6"/>
  <c r="M383" i="6"/>
  <c r="N370" i="6"/>
  <c r="M341" i="6"/>
  <c r="N321" i="6"/>
  <c r="M645" i="6"/>
  <c r="M559" i="6"/>
  <c r="N547" i="6"/>
  <c r="M429" i="6"/>
  <c r="N401" i="6"/>
  <c r="M321" i="6"/>
  <c r="N280" i="6"/>
  <c r="O280" i="6" s="1"/>
  <c r="N171" i="6"/>
  <c r="N160" i="6"/>
  <c r="N129" i="6"/>
  <c r="N99" i="6"/>
  <c r="N87" i="6"/>
  <c r="M22" i="6"/>
  <c r="M630" i="6"/>
  <c r="M478" i="6"/>
  <c r="N342" i="6"/>
  <c r="N247" i="6"/>
  <c r="N632" i="6"/>
  <c r="M671" i="6"/>
  <c r="N659" i="6"/>
  <c r="M643" i="6"/>
  <c r="N631" i="6"/>
  <c r="M646" i="6"/>
  <c r="N634" i="6"/>
  <c r="N612" i="6"/>
  <c r="O612" i="6" s="1"/>
  <c r="M572" i="6"/>
  <c r="N560" i="6"/>
  <c r="M544" i="6"/>
  <c r="N502" i="6"/>
  <c r="M436" i="6"/>
  <c r="N430" i="6"/>
  <c r="M391" i="6"/>
  <c r="N371" i="6"/>
  <c r="M342" i="6"/>
  <c r="N322" i="6"/>
  <c r="N573" i="6"/>
  <c r="O573" i="6" s="1"/>
  <c r="M557" i="6"/>
  <c r="N545" i="6"/>
  <c r="M479" i="6"/>
  <c r="N444" i="6"/>
  <c r="M420" i="6"/>
  <c r="N392" i="6"/>
  <c r="M368" i="6"/>
  <c r="N343" i="6"/>
  <c r="M300" i="6"/>
  <c r="N633" i="6"/>
  <c r="M611" i="6"/>
  <c r="N583" i="6"/>
  <c r="M495" i="6"/>
  <c r="N453" i="6"/>
  <c r="N352" i="6"/>
  <c r="N226" i="6"/>
  <c r="M161" i="6"/>
  <c r="M88" i="6"/>
  <c r="N21" i="6"/>
  <c r="N544" i="6"/>
  <c r="M299" i="6"/>
  <c r="N672" i="6"/>
  <c r="N130" i="6"/>
  <c r="N111" i="6"/>
  <c r="N199" i="6"/>
  <c r="N487" i="6"/>
  <c r="V15" i="6"/>
  <c r="N88" i="6"/>
  <c r="N119" i="6"/>
  <c r="O119" i="6" s="1"/>
  <c r="N131" i="6"/>
  <c r="N161" i="6"/>
  <c r="M190" i="6"/>
  <c r="N255" i="6"/>
  <c r="M289" i="6"/>
  <c r="N383" i="6"/>
  <c r="M403" i="6"/>
  <c r="N543" i="6"/>
  <c r="M631" i="6"/>
  <c r="N235" i="6"/>
  <c r="N436" i="6"/>
  <c r="M594" i="6"/>
  <c r="M19" i="6"/>
  <c r="N28" i="6"/>
  <c r="Q27" i="6" s="1"/>
  <c r="N225" i="6"/>
  <c r="M247" i="6"/>
  <c r="M322" i="6"/>
  <c r="N402" i="6"/>
  <c r="M430" i="6"/>
  <c r="N554" i="6"/>
  <c r="M560" i="6"/>
  <c r="M382" i="6"/>
  <c r="M131" i="6"/>
  <c r="M392" i="6"/>
  <c r="N521" i="6"/>
  <c r="N354" i="6"/>
  <c r="M521" i="6"/>
  <c r="N593" i="6"/>
  <c r="O593" i="6" s="1"/>
  <c r="N643" i="6"/>
  <c r="N340" i="6"/>
  <c r="M462" i="6"/>
  <c r="N570" i="6"/>
  <c r="M660" i="6"/>
  <c r="N669" i="6"/>
  <c r="M110" i="6"/>
  <c r="Z15" i="6"/>
  <c r="N180" i="6"/>
  <c r="N369" i="6"/>
  <c r="O369" i="6" s="1"/>
  <c r="N572" i="6"/>
  <c r="M642" i="6"/>
  <c r="AB15" i="6"/>
  <c r="AC15" i="6" s="1"/>
  <c r="M21" i="6"/>
  <c r="N41" i="6"/>
  <c r="N101" i="6"/>
  <c r="N181" i="6"/>
  <c r="M226" i="6"/>
  <c r="N300" i="6"/>
  <c r="O300" i="6" s="1"/>
  <c r="M332" i="6"/>
  <c r="N420" i="6"/>
  <c r="O420" i="6" s="1"/>
  <c r="N557" i="6"/>
  <c r="M569" i="6"/>
  <c r="M659" i="6"/>
  <c r="M245" i="6"/>
  <c r="N391" i="6"/>
  <c r="O391" i="6" s="1"/>
  <c r="N558" i="6"/>
  <c r="O558" i="6" s="1"/>
  <c r="N20" i="6"/>
  <c r="M111" i="6"/>
  <c r="M180" i="6"/>
  <c r="N245" i="6"/>
  <c r="N331" i="6"/>
  <c r="M344" i="6"/>
  <c r="N432" i="6"/>
  <c r="M452" i="6"/>
  <c r="N568" i="6"/>
  <c r="O568" i="6" s="1"/>
  <c r="M582" i="6"/>
  <c r="M656" i="6"/>
  <c r="X15" i="6"/>
  <c r="M545" i="6"/>
  <c r="N621" i="6"/>
  <c r="M330" i="6"/>
  <c r="N403" i="6"/>
  <c r="M567" i="6"/>
  <c r="M655" i="6"/>
  <c r="N382" i="6"/>
  <c r="N630" i="6"/>
  <c r="M647" i="6"/>
  <c r="N660" i="6"/>
  <c r="O140" i="6"/>
  <c r="O151" i="6"/>
  <c r="N270" i="2"/>
  <c r="M196" i="2"/>
  <c r="M151" i="2"/>
  <c r="N150" i="2"/>
  <c r="M129" i="2"/>
  <c r="N128" i="2"/>
  <c r="M150" i="2"/>
  <c r="M128" i="2"/>
  <c r="N104" i="2"/>
  <c r="N24" i="2"/>
  <c r="N138" i="2"/>
  <c r="N103" i="2"/>
  <c r="M24" i="2"/>
  <c r="N23" i="2"/>
  <c r="M138" i="2"/>
  <c r="N129" i="2"/>
  <c r="M103" i="2"/>
  <c r="M23" i="2"/>
  <c r="N196" i="2"/>
  <c r="N151" i="2"/>
  <c r="N39" i="2"/>
  <c r="L131" i="6"/>
  <c r="M188" i="2"/>
  <c r="M261" i="2"/>
  <c r="M243" i="2"/>
  <c r="M122" i="2"/>
  <c r="V15" i="2"/>
  <c r="W15" i="2"/>
  <c r="X15" i="2"/>
  <c r="AB15" i="2"/>
  <c r="AC15" i="2" s="1"/>
  <c r="Z15" i="2"/>
  <c r="N52" i="2"/>
  <c r="N188" i="2"/>
  <c r="M94" i="2"/>
  <c r="N93" i="2"/>
  <c r="M93" i="2"/>
  <c r="N122" i="2"/>
  <c r="N261" i="2"/>
  <c r="N94" i="2"/>
  <c r="N243" i="2"/>
  <c r="N82" i="2"/>
  <c r="M82" i="2"/>
  <c r="N180" i="2"/>
  <c r="N255" i="2"/>
  <c r="N179" i="2"/>
  <c r="W17" i="2"/>
  <c r="O46" i="2"/>
  <c r="M120" i="2"/>
  <c r="N45" i="2"/>
  <c r="N120" i="2"/>
  <c r="M45" i="2"/>
  <c r="M134" i="2"/>
  <c r="N212" i="2"/>
  <c r="M219" i="2"/>
  <c r="N43" i="2"/>
  <c r="N219" i="2"/>
  <c r="M212" i="2"/>
  <c r="N77" i="2"/>
  <c r="M77" i="2"/>
  <c r="N134" i="2"/>
  <c r="O200" i="2"/>
  <c r="O221" i="2"/>
  <c r="O143" i="2"/>
  <c r="L21" i="2"/>
  <c r="O647" i="6" l="1"/>
  <c r="O630" i="6"/>
  <c r="O340" i="6"/>
  <c r="O479" i="6"/>
  <c r="O20" i="6"/>
  <c r="O160" i="6"/>
  <c r="O648" i="6"/>
  <c r="O225" i="6"/>
  <c r="O87" i="6"/>
  <c r="O246" i="6"/>
  <c r="O161" i="6"/>
  <c r="O495" i="6"/>
  <c r="O470" i="6"/>
  <c r="O368" i="6"/>
  <c r="O245" i="6"/>
  <c r="O462" i="6"/>
  <c r="O330" i="6"/>
  <c r="L132" i="6"/>
  <c r="O342" i="6"/>
  <c r="O181" i="6"/>
  <c r="O354" i="6"/>
  <c r="O235" i="6"/>
  <c r="O321" i="6"/>
  <c r="O353" i="6"/>
  <c r="O19" i="6"/>
  <c r="O189" i="6"/>
  <c r="O101" i="6"/>
  <c r="O383" i="6"/>
  <c r="O430" i="6"/>
  <c r="O400" i="6"/>
  <c r="O381" i="6"/>
  <c r="O541" i="6"/>
  <c r="O629" i="6"/>
  <c r="O621" i="6"/>
  <c r="O110" i="6"/>
  <c r="O672" i="6"/>
  <c r="O584" i="6"/>
  <c r="O674" i="6"/>
  <c r="N642" i="6"/>
  <c r="O642" i="6" s="1"/>
  <c r="O344" i="6"/>
  <c r="O632" i="6"/>
  <c r="O478" i="6"/>
  <c r="O431" i="6"/>
  <c r="O655" i="6"/>
  <c r="O289" i="6"/>
  <c r="O129" i="6"/>
  <c r="O569" i="6"/>
  <c r="O572" i="6"/>
  <c r="O643" i="6"/>
  <c r="O402" i="6"/>
  <c r="O559" i="6"/>
  <c r="O546" i="6"/>
  <c r="O645" i="6"/>
  <c r="O671" i="6"/>
  <c r="O594" i="6"/>
  <c r="O85" i="6"/>
  <c r="O452" i="6"/>
  <c r="O332" i="6"/>
  <c r="O631" i="6"/>
  <c r="O299" i="6"/>
  <c r="O453" i="6"/>
  <c r="O343" i="6"/>
  <c r="O659" i="6"/>
  <c r="O611" i="6"/>
  <c r="O170" i="6"/>
  <c r="O646" i="6"/>
  <c r="O547" i="6"/>
  <c r="O190" i="6"/>
  <c r="O521" i="6"/>
  <c r="O403" i="6"/>
  <c r="O88" i="6"/>
  <c r="O392" i="6"/>
  <c r="O247" i="6"/>
  <c r="O401" i="6"/>
  <c r="O428" i="6"/>
  <c r="O570" i="6"/>
  <c r="N656" i="6"/>
  <c r="O656" i="6" s="1"/>
  <c r="O382" i="6"/>
  <c r="O322" i="6"/>
  <c r="O560" i="6"/>
  <c r="O429" i="6"/>
  <c r="O657" i="6"/>
  <c r="O28" i="6"/>
  <c r="O557" i="6"/>
  <c r="O544" i="6"/>
  <c r="O582" i="6"/>
  <c r="N567" i="6"/>
  <c r="O567" i="6" s="1"/>
  <c r="O543" i="6"/>
  <c r="O583" i="6"/>
  <c r="O644" i="6"/>
  <c r="O660" i="6"/>
  <c r="O331" i="6"/>
  <c r="O444" i="6"/>
  <c r="O180" i="6"/>
  <c r="O131" i="6"/>
  <c r="O226" i="6"/>
  <c r="O435" i="6"/>
  <c r="O22" i="6"/>
  <c r="O320" i="6"/>
  <c r="O661" i="6"/>
  <c r="O436" i="6"/>
  <c r="O21" i="6"/>
  <c r="O352" i="6"/>
  <c r="O545" i="6"/>
  <c r="O271" i="6"/>
  <c r="O341" i="6"/>
  <c r="O111" i="6"/>
  <c r="O622" i="6"/>
  <c r="O533" i="6"/>
  <c r="O236" i="6"/>
  <c r="N555" i="6"/>
  <c r="O571" i="6"/>
  <c r="O658" i="6"/>
  <c r="O34" i="6"/>
  <c r="O103" i="2"/>
  <c r="O150" i="2"/>
  <c r="O151" i="2"/>
  <c r="O128" i="2"/>
  <c r="O94" i="2"/>
  <c r="O138" i="2"/>
  <c r="O122" i="2"/>
  <c r="O93" i="2"/>
  <c r="O243" i="2"/>
  <c r="O261" i="2"/>
  <c r="O129" i="2"/>
  <c r="O45" i="2"/>
  <c r="O188" i="2"/>
  <c r="O82" i="2"/>
  <c r="O196" i="2"/>
  <c r="N33" i="2"/>
  <c r="M107" i="2"/>
  <c r="N107" i="2"/>
  <c r="O219" i="2"/>
  <c r="O24" i="2"/>
  <c r="O77" i="2"/>
  <c r="O212" i="2"/>
  <c r="O120" i="2"/>
  <c r="O23" i="2"/>
  <c r="O134" i="2"/>
  <c r="L22" i="2"/>
  <c r="L133" i="6" l="1"/>
  <c r="O107" i="2"/>
  <c r="N254" i="2"/>
  <c r="M254" i="2"/>
  <c r="N80" i="2"/>
  <c r="M92" i="2"/>
  <c r="N92" i="2"/>
  <c r="N139" i="2"/>
  <c r="M139" i="2"/>
  <c r="N262" i="2"/>
  <c r="M262" i="2"/>
  <c r="M131" i="2"/>
  <c r="N131" i="2"/>
  <c r="M132" i="2"/>
  <c r="N132" i="2"/>
  <c r="M116" i="2"/>
  <c r="N116" i="2"/>
  <c r="M123" i="2"/>
  <c r="N123" i="2"/>
  <c r="N48" i="2"/>
  <c r="M272" i="2"/>
  <c r="N272" i="2"/>
  <c r="M140" i="2"/>
  <c r="N140" i="2"/>
  <c r="N81" i="2"/>
  <c r="N124" i="2"/>
  <c r="M124" i="2"/>
  <c r="L23" i="2"/>
  <c r="L134" i="6" l="1"/>
  <c r="Q33" i="6"/>
  <c r="R33" i="6"/>
  <c r="Q41" i="6"/>
  <c r="Q15" i="6"/>
  <c r="O131" i="2"/>
  <c r="O139" i="2"/>
  <c r="O272" i="2"/>
  <c r="O132" i="2"/>
  <c r="O140" i="2"/>
  <c r="O124" i="2"/>
  <c r="O92" i="2"/>
  <c r="O254" i="2"/>
  <c r="O123" i="2"/>
  <c r="O116" i="2"/>
  <c r="O262" i="2"/>
  <c r="L24" i="2"/>
  <c r="L25" i="2" s="1"/>
  <c r="L26" i="2" s="1"/>
  <c r="L135" i="6" l="1"/>
  <c r="L27" i="2"/>
  <c r="L28" i="2" s="1"/>
  <c r="L29" i="2" s="1"/>
  <c r="L30" i="2" s="1"/>
  <c r="L31" i="2" s="1"/>
  <c r="L32" i="2" s="1"/>
  <c r="L33" i="2" s="1"/>
  <c r="L34" i="2" s="1"/>
  <c r="L35" i="2" s="1"/>
  <c r="L36" i="2" s="1"/>
  <c r="L136" i="6" l="1"/>
  <c r="Q54" i="6"/>
  <c r="L37" i="2"/>
  <c r="L38" i="2" s="1"/>
  <c r="L137" i="6" l="1"/>
  <c r="R155" i="6"/>
  <c r="L39" i="2"/>
  <c r="L138" i="6" l="1"/>
  <c r="Q47" i="6"/>
  <c r="L40" i="2"/>
  <c r="L41" i="2" s="1"/>
  <c r="L42" i="2" s="1"/>
  <c r="L43" i="2" s="1"/>
  <c r="L139" i="6" l="1"/>
  <c r="L140" i="6" s="1"/>
  <c r="L141" i="6" s="1"/>
  <c r="L142" i="6" s="1"/>
  <c r="L143" i="6" s="1"/>
  <c r="L144" i="6" s="1"/>
  <c r="Q39" i="6"/>
  <c r="L44" i="2"/>
  <c r="L145" i="6" l="1"/>
  <c r="L146" i="6" s="1"/>
  <c r="L147" i="6" s="1"/>
  <c r="L148" i="6" s="1"/>
  <c r="Q56" i="6"/>
  <c r="L45" i="2"/>
  <c r="Q48" i="6" l="1"/>
  <c r="L149" i="6"/>
  <c r="L46" i="2"/>
  <c r="L150" i="6" l="1"/>
  <c r="L151" i="6" s="1"/>
  <c r="L152" i="6" s="1"/>
  <c r="L47" i="2"/>
  <c r="L153" i="6" l="1"/>
  <c r="L48" i="2"/>
  <c r="L154" i="6" l="1"/>
  <c r="L49" i="2"/>
  <c r="L155" i="6" l="1"/>
  <c r="L50" i="2"/>
  <c r="L156" i="6" l="1"/>
  <c r="Q74" i="6"/>
  <c r="Q75" i="6"/>
  <c r="L51" i="2"/>
  <c r="L157" i="6" l="1"/>
  <c r="L52" i="2"/>
  <c r="L53" i="2" s="1"/>
  <c r="L54" i="2" s="1"/>
  <c r="L55" i="2" s="1"/>
  <c r="L158" i="6" l="1"/>
  <c r="Q57" i="6"/>
  <c r="L56" i="2"/>
  <c r="L57" i="2" s="1"/>
  <c r="L159" i="6" l="1"/>
  <c r="L58" i="2"/>
  <c r="L59" i="2"/>
  <c r="L60" i="2" s="1"/>
  <c r="L61" i="2" s="1"/>
  <c r="L62" i="2" s="1"/>
  <c r="L63" i="2" s="1"/>
  <c r="L64" i="2" s="1"/>
  <c r="L65" i="2" s="1"/>
  <c r="L66" i="2" s="1"/>
  <c r="L67" i="2" s="1"/>
  <c r="L160" i="6" l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Q65" i="6"/>
  <c r="L68" i="2"/>
  <c r="L69" i="2"/>
  <c r="L70" i="2" l="1"/>
  <c r="L71" i="2" s="1"/>
  <c r="L72" i="2" s="1"/>
  <c r="L73" i="2" s="1"/>
  <c r="L74" i="2" s="1"/>
  <c r="L75" i="2" s="1"/>
  <c r="L76" i="2" s="1"/>
  <c r="L77" i="2" s="1"/>
  <c r="L78" i="2" s="1"/>
  <c r="L171" i="6"/>
  <c r="L172" i="6" s="1"/>
  <c r="L173" i="6" s="1"/>
  <c r="L79" i="2" l="1"/>
  <c r="L80" i="2" s="1"/>
  <c r="L81" i="2" s="1"/>
  <c r="L82" i="2" s="1"/>
  <c r="L83" i="2" s="1"/>
  <c r="L174" i="6"/>
  <c r="Q73" i="6"/>
  <c r="L175" i="6" l="1"/>
  <c r="L176" i="6" s="1"/>
  <c r="L177" i="6" s="1"/>
  <c r="L178" i="6" s="1"/>
  <c r="L179" i="6" s="1"/>
  <c r="L180" i="6" s="1"/>
  <c r="L181" i="6" s="1"/>
  <c r="L84" i="2"/>
  <c r="Q81" i="6" l="1"/>
  <c r="L182" i="6"/>
  <c r="Q83" i="6"/>
  <c r="L85" i="2"/>
  <c r="L86" i="2" s="1"/>
  <c r="L87" i="2" s="1"/>
  <c r="L88" i="2" s="1"/>
  <c r="Q82" i="6" l="1"/>
  <c r="L183" i="6"/>
  <c r="L184" i="6" s="1"/>
  <c r="L185" i="6" s="1"/>
  <c r="L186" i="6" s="1"/>
  <c r="L187" i="6" s="1"/>
  <c r="L188" i="6" s="1"/>
  <c r="L189" i="6" s="1"/>
  <c r="L89" i="2"/>
  <c r="L90" i="2" s="1"/>
  <c r="L91" i="2" s="1"/>
  <c r="L92" i="2" s="1"/>
  <c r="L93" i="2" s="1"/>
  <c r="L94" i="2" s="1"/>
  <c r="L95" i="2" s="1"/>
  <c r="L96" i="2" s="1"/>
  <c r="L97" i="2" s="1"/>
  <c r="L98" i="2" s="1"/>
  <c r="L190" i="6" l="1"/>
  <c r="L99" i="2"/>
  <c r="L100" i="2" s="1"/>
  <c r="L101" i="2" s="1"/>
  <c r="L102" i="2" s="1"/>
  <c r="L103" i="2" s="1"/>
  <c r="L191" i="6" l="1"/>
  <c r="L192" i="6" s="1"/>
  <c r="Q90" i="6"/>
  <c r="L104" i="2"/>
  <c r="L105" i="2" s="1"/>
  <c r="L106" i="2" s="1"/>
  <c r="L193" i="6" l="1"/>
  <c r="L107" i="2"/>
  <c r="L194" i="6" l="1"/>
  <c r="Q94" i="6" s="1"/>
  <c r="Q93" i="6"/>
  <c r="L108" i="2"/>
  <c r="L109" i="2" s="1"/>
  <c r="L195" i="6" l="1"/>
  <c r="L110" i="2"/>
  <c r="L111" i="2" s="1"/>
  <c r="L112" i="2" s="1"/>
  <c r="L196" i="6" l="1"/>
  <c r="L113" i="2"/>
  <c r="L114" i="2"/>
  <c r="L197" i="6" l="1"/>
  <c r="L115" i="2"/>
  <c r="L198" i="6" l="1"/>
  <c r="L116" i="2"/>
  <c r="L199" i="6" l="1"/>
  <c r="L200" i="6" s="1"/>
  <c r="L201" i="6" s="1"/>
  <c r="L202" i="6" s="1"/>
  <c r="L203" i="6" s="1"/>
  <c r="L204" i="6" s="1"/>
  <c r="Q98" i="6"/>
  <c r="Q103" i="6"/>
  <c r="L117" i="2"/>
  <c r="L118" i="2" s="1"/>
  <c r="L205" i="6" l="1"/>
  <c r="L119" i="2"/>
  <c r="L206" i="6" l="1"/>
  <c r="L120" i="2"/>
  <c r="L207" i="6" l="1"/>
  <c r="L208" i="6" s="1"/>
  <c r="L209" i="6" s="1"/>
  <c r="L210" i="6" s="1"/>
  <c r="L211" i="6" s="1"/>
  <c r="L212" i="6" s="1"/>
  <c r="Q106" i="6"/>
  <c r="L121" i="2"/>
  <c r="L213" i="6" l="1"/>
  <c r="L214" i="6" s="1"/>
  <c r="L215" i="6" s="1"/>
  <c r="L216" i="6" s="1"/>
  <c r="L217" i="6" s="1"/>
  <c r="Q116" i="6"/>
  <c r="L122" i="2"/>
  <c r="L218" i="6" l="1"/>
  <c r="L219" i="6" s="1"/>
  <c r="L220" i="6" s="1"/>
  <c r="L123" i="2"/>
  <c r="L221" i="6" l="1"/>
  <c r="Q120" i="6"/>
  <c r="L222" i="6"/>
  <c r="L223" i="6" s="1"/>
  <c r="L124" i="2"/>
  <c r="L224" i="6" l="1"/>
  <c r="L125" i="2"/>
  <c r="Q124" i="6" l="1"/>
  <c r="L225" i="6"/>
  <c r="L126" i="2"/>
  <c r="L226" i="6" l="1"/>
  <c r="L127" i="2"/>
  <c r="L227" i="6" l="1"/>
  <c r="L128" i="2"/>
  <c r="L228" i="6" l="1"/>
  <c r="L129" i="2"/>
  <c r="L229" i="6" l="1"/>
  <c r="L130" i="2"/>
  <c r="L230" i="6" l="1"/>
  <c r="Q129" i="6"/>
  <c r="L131" i="2"/>
  <c r="L231" i="6" l="1"/>
  <c r="Q131" i="6" s="1"/>
  <c r="L132" i="2"/>
  <c r="L232" i="6" l="1"/>
  <c r="L133" i="2"/>
  <c r="R33" i="2"/>
  <c r="Q33" i="2"/>
  <c r="L233" i="6" l="1"/>
  <c r="L134" i="2"/>
  <c r="L234" i="6" l="1"/>
  <c r="L135" i="2"/>
  <c r="L235" i="6" l="1"/>
  <c r="L136" i="2"/>
  <c r="L236" i="6" l="1"/>
  <c r="Q136" i="6" s="1"/>
  <c r="L137" i="2"/>
  <c r="L237" i="6" l="1"/>
  <c r="L138" i="2"/>
  <c r="L238" i="6" l="1"/>
  <c r="L139" i="2"/>
  <c r="L239" i="6" l="1"/>
  <c r="L240" i="6" s="1"/>
  <c r="L241" i="6" s="1"/>
  <c r="L140" i="2"/>
  <c r="L242" i="6" l="1"/>
  <c r="L243" i="6" s="1"/>
  <c r="Q142" i="6"/>
  <c r="L141" i="2"/>
  <c r="R40" i="2"/>
  <c r="Q40" i="2"/>
  <c r="L244" i="6" l="1"/>
  <c r="Q144" i="6" s="1"/>
  <c r="L142" i="2"/>
  <c r="L245" i="6" l="1"/>
  <c r="L246" i="6" s="1"/>
  <c r="L143" i="2"/>
  <c r="L247" i="6" l="1"/>
  <c r="Q146" i="6"/>
  <c r="L144" i="2"/>
  <c r="L248" i="6" l="1"/>
  <c r="L249" i="6" s="1"/>
  <c r="L250" i="6" s="1"/>
  <c r="L251" i="6" s="1"/>
  <c r="L252" i="6" s="1"/>
  <c r="Q152" i="6" s="1"/>
  <c r="L145" i="2"/>
  <c r="L253" i="6" l="1"/>
  <c r="L146" i="2"/>
  <c r="L254" i="6" l="1"/>
  <c r="L147" i="2"/>
  <c r="L255" i="6" l="1"/>
  <c r="L148" i="2"/>
  <c r="L256" i="6" l="1"/>
  <c r="Q156" i="6" s="1"/>
  <c r="Q155" i="6"/>
  <c r="L149" i="2"/>
  <c r="L257" i="6" l="1"/>
  <c r="L150" i="2"/>
  <c r="L258" i="6" l="1"/>
  <c r="L151" i="2"/>
  <c r="L259" i="6" l="1"/>
  <c r="L260" i="6" s="1"/>
  <c r="L152" i="2"/>
  <c r="L261" i="6" l="1"/>
  <c r="L262" i="6" s="1"/>
  <c r="L263" i="6" s="1"/>
  <c r="L264" i="6" s="1"/>
  <c r="L265" i="6" s="1"/>
  <c r="L266" i="6" s="1"/>
  <c r="Q162" i="6"/>
  <c r="L153" i="2"/>
  <c r="L267" i="6" l="1"/>
  <c r="Q166" i="6"/>
  <c r="L154" i="2"/>
  <c r="L268" i="6" l="1"/>
  <c r="L269" i="6" s="1"/>
  <c r="R171" i="6"/>
  <c r="Q171" i="6"/>
  <c r="L155" i="2"/>
  <c r="L270" i="6" l="1"/>
  <c r="L156" i="2"/>
  <c r="Q170" i="6" l="1"/>
  <c r="L271" i="6"/>
  <c r="L157" i="2"/>
  <c r="L158" i="2" s="1"/>
  <c r="L272" i="6" l="1"/>
  <c r="L159" i="2"/>
  <c r="L160" i="2" s="1"/>
  <c r="L161" i="2" s="1"/>
  <c r="L162" i="2" s="1"/>
  <c r="L273" i="6" l="1"/>
  <c r="L163" i="2"/>
  <c r="L164" i="2" s="1"/>
  <c r="L165" i="2" s="1"/>
  <c r="L166" i="2" s="1"/>
  <c r="L167" i="2" s="1"/>
  <c r="L168" i="2" l="1"/>
  <c r="L274" i="6"/>
  <c r="L169" i="2"/>
  <c r="L275" i="6" l="1"/>
  <c r="Q176" i="6"/>
  <c r="L170" i="2"/>
  <c r="L171" i="2" s="1"/>
  <c r="L172" i="2" s="1"/>
  <c r="L173" i="2" s="1"/>
  <c r="L174" i="2" s="1"/>
  <c r="L175" i="2" s="1"/>
  <c r="L176" i="2" s="1"/>
  <c r="L177" i="2" s="1"/>
  <c r="L178" i="2" l="1"/>
  <c r="L179" i="2" s="1"/>
  <c r="L276" i="6"/>
  <c r="L180" i="2"/>
  <c r="L181" i="2" s="1"/>
  <c r="L182" i="2" s="1"/>
  <c r="L183" i="2" s="1"/>
  <c r="L184" i="2" s="1"/>
  <c r="L185" i="2" s="1"/>
  <c r="L186" i="2" s="1"/>
  <c r="L187" i="2" s="1"/>
  <c r="L188" i="2" s="1"/>
  <c r="L277" i="6" l="1"/>
  <c r="L189" i="2"/>
  <c r="L190" i="2" s="1"/>
  <c r="L191" i="2" s="1"/>
  <c r="L192" i="2" s="1"/>
  <c r="L193" i="2" s="1"/>
  <c r="L194" i="2" s="1"/>
  <c r="L195" i="2" s="1"/>
  <c r="L196" i="2" s="1"/>
  <c r="Q90" i="2"/>
  <c r="R90" i="2"/>
  <c r="L278" i="6" l="1"/>
  <c r="Q177" i="6"/>
  <c r="R183" i="6"/>
  <c r="Q183" i="6"/>
  <c r="L197" i="2"/>
  <c r="L198" i="2" l="1"/>
  <c r="L199" i="2" s="1"/>
  <c r="L200" i="2" s="1"/>
  <c r="L201" i="2" s="1"/>
  <c r="L202" i="2" s="1"/>
  <c r="L279" i="6"/>
  <c r="L280" i="6" s="1"/>
  <c r="L281" i="6" s="1"/>
  <c r="L282" i="6" s="1"/>
  <c r="L283" i="6" s="1"/>
  <c r="L284" i="6" l="1"/>
  <c r="L285" i="6" s="1"/>
  <c r="L203" i="2"/>
  <c r="L204" i="2" s="1"/>
  <c r="L205" i="2" s="1"/>
  <c r="L206" i="2" s="1"/>
  <c r="L207" i="2" s="1"/>
  <c r="L208" i="2" s="1"/>
  <c r="L209" i="2" s="1"/>
  <c r="L210" i="2" s="1"/>
  <c r="L211" i="2" s="1"/>
  <c r="L286" i="6"/>
  <c r="Q186" i="6" l="1"/>
  <c r="L287" i="6"/>
  <c r="L212" i="2"/>
  <c r="L213" i="2" s="1"/>
  <c r="L214" i="2" s="1"/>
  <c r="R113" i="2"/>
  <c r="Q113" i="2"/>
  <c r="L288" i="6" l="1"/>
  <c r="L289" i="6" s="1"/>
  <c r="R114" i="2"/>
  <c r="Q114" i="2"/>
  <c r="L215" i="2"/>
  <c r="L216" i="2" l="1"/>
  <c r="L290" i="6"/>
  <c r="Q189" i="6"/>
  <c r="R189" i="6"/>
  <c r="L217" i="2"/>
  <c r="R118" i="2"/>
  <c r="Q118" i="2"/>
  <c r="L291" i="6" l="1"/>
  <c r="L218" i="2"/>
  <c r="L292" i="6" l="1"/>
  <c r="L293" i="6" s="1"/>
  <c r="L294" i="6" s="1"/>
  <c r="L295" i="6"/>
  <c r="Q195" i="6"/>
  <c r="L219" i="2"/>
  <c r="L296" i="6" l="1"/>
  <c r="Q119" i="2"/>
  <c r="R119" i="2"/>
  <c r="L220" i="2"/>
  <c r="L221" i="2" s="1"/>
  <c r="Q121" i="2"/>
  <c r="R121" i="2"/>
  <c r="Q123" i="2"/>
  <c r="R123" i="2"/>
  <c r="L297" i="6" l="1"/>
  <c r="Q197" i="6" s="1"/>
  <c r="L298" i="6"/>
  <c r="L222" i="2"/>
  <c r="L223" i="2" s="1"/>
  <c r="Q122" i="2"/>
  <c r="R122" i="2"/>
  <c r="R132" i="2"/>
  <c r="Q132" i="2"/>
  <c r="L299" i="6" l="1"/>
  <c r="L224" i="2"/>
  <c r="L225" i="2" l="1"/>
  <c r="L300" i="6"/>
  <c r="Q126" i="2"/>
  <c r="R126" i="2"/>
  <c r="L226" i="2" l="1"/>
  <c r="L227" i="2" s="1"/>
  <c r="L228" i="2" s="1"/>
  <c r="L301" i="6"/>
  <c r="R128" i="2"/>
  <c r="Q128" i="2"/>
  <c r="R130" i="2"/>
  <c r="Q130" i="2"/>
  <c r="L229" i="2" l="1"/>
  <c r="L230" i="2" s="1"/>
  <c r="L231" i="2" s="1"/>
  <c r="L232" i="2" s="1"/>
  <c r="L233" i="2" s="1"/>
  <c r="L234" i="2" s="1"/>
  <c r="L235" i="2" s="1"/>
  <c r="L236" i="2" s="1"/>
  <c r="L302" i="6"/>
  <c r="Q133" i="2"/>
  <c r="R133" i="2"/>
  <c r="R137" i="2"/>
  <c r="Q137" i="2"/>
  <c r="L303" i="6" l="1"/>
  <c r="L237" i="2"/>
  <c r="L238" i="2" s="1"/>
  <c r="L304" i="6" l="1"/>
  <c r="L239" i="2"/>
  <c r="L240" i="2" s="1"/>
  <c r="Q138" i="2"/>
  <c r="R138" i="2"/>
  <c r="R139" i="2"/>
  <c r="Q139" i="2"/>
  <c r="L305" i="6" l="1"/>
  <c r="Q204" i="6"/>
  <c r="L241" i="2"/>
  <c r="L242" i="2" s="1"/>
  <c r="L306" i="6" l="1"/>
  <c r="L307" i="6" s="1"/>
  <c r="L243" i="2"/>
  <c r="L244" i="2" s="1"/>
  <c r="Q142" i="2"/>
  <c r="R142" i="2"/>
  <c r="L308" i="6" l="1"/>
  <c r="L309" i="6" s="1"/>
  <c r="L310" i="6" s="1"/>
  <c r="L311" i="6" s="1"/>
  <c r="L312" i="6" s="1"/>
  <c r="L245" i="2"/>
  <c r="L246" i="2"/>
  <c r="L313" i="6" l="1"/>
  <c r="Q212" i="6"/>
  <c r="L247" i="2"/>
  <c r="R146" i="2"/>
  <c r="Q146" i="2"/>
  <c r="L314" i="6" l="1"/>
  <c r="L248" i="2"/>
  <c r="L315" i="6" l="1"/>
  <c r="L316" i="6" s="1"/>
  <c r="Q215" i="6"/>
  <c r="L249" i="2"/>
  <c r="Q149" i="2"/>
  <c r="R149" i="2"/>
  <c r="L317" i="6" l="1"/>
  <c r="Q221" i="6"/>
  <c r="L250" i="2"/>
  <c r="L251" i="2" s="1"/>
  <c r="L252" i="2" s="1"/>
  <c r="L253" i="2" s="1"/>
  <c r="L318" i="6" l="1"/>
  <c r="L254" i="2"/>
  <c r="L319" i="6" l="1"/>
  <c r="L320" i="6" s="1"/>
  <c r="L321" i="6" s="1"/>
  <c r="L322" i="6" s="1"/>
  <c r="L323" i="6" s="1"/>
  <c r="L324" i="6" s="1"/>
  <c r="L325" i="6" s="1"/>
  <c r="Q222" i="6"/>
  <c r="L255" i="2"/>
  <c r="L256" i="2" s="1"/>
  <c r="L326" i="6" l="1"/>
  <c r="L257" i="2"/>
  <c r="L327" i="6" l="1"/>
  <c r="L258" i="2"/>
  <c r="L259" i="2" s="1"/>
  <c r="L328" i="6" l="1"/>
  <c r="L260" i="2"/>
  <c r="L329" i="6" l="1"/>
  <c r="L261" i="2"/>
  <c r="L330" i="6" l="1"/>
  <c r="Q229" i="6"/>
  <c r="L262" i="2"/>
  <c r="L263" i="2" s="1"/>
  <c r="L264" i="2" s="1"/>
  <c r="L265" i="2" s="1"/>
  <c r="L331" i="6" l="1"/>
  <c r="L266" i="2"/>
  <c r="L332" i="6" l="1"/>
  <c r="Q231" i="6"/>
  <c r="L267" i="2"/>
  <c r="L268" i="2" s="1"/>
  <c r="L333" i="6" l="1"/>
  <c r="L334" i="6" s="1"/>
  <c r="Q236" i="6"/>
  <c r="R236" i="6"/>
  <c r="L269" i="2"/>
  <c r="L270" i="2" s="1"/>
  <c r="Q168" i="2"/>
  <c r="L335" i="6" l="1"/>
  <c r="L336" i="6" s="1"/>
  <c r="L337" i="6" s="1"/>
  <c r="L338" i="6" s="1"/>
  <c r="L271" i="2"/>
  <c r="L272" i="2" s="1"/>
  <c r="L273" i="2" s="1"/>
  <c r="L274" i="2" s="1"/>
  <c r="L339" i="6" l="1"/>
  <c r="L275" i="2"/>
  <c r="L276" i="2" s="1"/>
  <c r="L340" i="6" l="1"/>
  <c r="L341" i="6" l="1"/>
  <c r="Q241" i="6" l="1"/>
  <c r="L342" i="6"/>
  <c r="R208" i="2"/>
  <c r="Q208" i="2"/>
  <c r="L343" i="6" l="1"/>
  <c r="N87" i="2"/>
  <c r="N101" i="2"/>
  <c r="M101" i="2"/>
  <c r="L344" i="6" l="1"/>
  <c r="R243" i="6"/>
  <c r="Q243" i="6"/>
  <c r="Q218" i="2"/>
  <c r="R218" i="2"/>
  <c r="O101" i="2"/>
  <c r="L345" i="6" l="1"/>
  <c r="L346" i="6" l="1"/>
  <c r="L347" i="6" l="1"/>
  <c r="L348" i="6" l="1"/>
  <c r="R261" i="2"/>
  <c r="Q261" i="2"/>
  <c r="L349" i="6" l="1"/>
  <c r="L350" i="6" l="1"/>
  <c r="Q249" i="6"/>
  <c r="L351" i="6" l="1"/>
  <c r="L352" i="6" l="1"/>
  <c r="L353" i="6" s="1"/>
  <c r="L354" i="6" s="1"/>
  <c r="Q252" i="6"/>
  <c r="Q258" i="6"/>
  <c r="L355" i="6" l="1"/>
  <c r="L356" i="6" s="1"/>
  <c r="L357" i="6" s="1"/>
  <c r="L358" i="6" s="1"/>
  <c r="L359" i="6" s="1"/>
  <c r="Q254" i="6"/>
  <c r="L360" i="6" l="1"/>
  <c r="L361" i="6"/>
  <c r="Q260" i="6"/>
  <c r="Q269" i="6"/>
  <c r="R269" i="6"/>
  <c r="L362" i="6" l="1"/>
  <c r="L363" i="6" l="1"/>
  <c r="L364" i="6" s="1"/>
  <c r="L365" i="6" s="1"/>
  <c r="L366" i="6"/>
  <c r="L367" i="6" s="1"/>
  <c r="Q268" i="6"/>
  <c r="M21" i="2"/>
  <c r="N21" i="2"/>
  <c r="N102" i="2"/>
  <c r="M102" i="2"/>
  <c r="L368" i="6" l="1"/>
  <c r="Q267" i="6"/>
  <c r="O102" i="2"/>
  <c r="O21" i="2"/>
  <c r="L369" i="6" l="1"/>
  <c r="N98" i="2"/>
  <c r="L370" i="6" l="1"/>
  <c r="L371" i="6" s="1"/>
  <c r="L372" i="6"/>
  <c r="M75" i="2"/>
  <c r="N75" i="2"/>
  <c r="N66" i="2"/>
  <c r="M66" i="2"/>
  <c r="M191" i="2"/>
  <c r="N191" i="2"/>
  <c r="N112" i="2"/>
  <c r="M241" i="2"/>
  <c r="N241" i="2"/>
  <c r="N232" i="2"/>
  <c r="M232" i="2"/>
  <c r="N199" i="2"/>
  <c r="N58" i="2"/>
  <c r="M44" i="2"/>
  <c r="N44" i="2"/>
  <c r="L373" i="6" l="1"/>
  <c r="O75" i="2"/>
  <c r="O241" i="2"/>
  <c r="Q273" i="2"/>
  <c r="O232" i="2"/>
  <c r="O66" i="2"/>
  <c r="O191" i="2"/>
  <c r="O44" i="2"/>
  <c r="Q198" i="2"/>
  <c r="L374" i="6" l="1"/>
  <c r="Q276" i="6"/>
  <c r="R198" i="2"/>
  <c r="R273" i="2"/>
  <c r="L375" i="6" l="1"/>
  <c r="L376" i="6" s="1"/>
  <c r="L377" i="6" s="1"/>
  <c r="Q274" i="6"/>
  <c r="L378" i="6" l="1"/>
  <c r="Q285" i="6"/>
  <c r="Q269" i="2"/>
  <c r="L379" i="6" l="1"/>
  <c r="R269" i="2"/>
  <c r="L380" i="6" l="1"/>
  <c r="L381" i="6" l="1"/>
  <c r="R290" i="6"/>
  <c r="Q290" i="6"/>
  <c r="L382" i="6" l="1"/>
  <c r="L383" i="6" l="1"/>
  <c r="Q283" i="6"/>
  <c r="Q294" i="6"/>
  <c r="R297" i="6"/>
  <c r="Q297" i="6"/>
  <c r="L384" i="6" l="1"/>
  <c r="L385" i="6" s="1"/>
  <c r="L386" i="6" s="1"/>
  <c r="L387" i="6" s="1"/>
  <c r="L388" i="6" s="1"/>
  <c r="L389" i="6" s="1"/>
  <c r="R289" i="6" l="1"/>
  <c r="Q289" i="6"/>
  <c r="L390" i="6"/>
  <c r="L391" i="6" l="1"/>
  <c r="L392" i="6" s="1"/>
  <c r="L393" i="6" s="1"/>
  <c r="L394" i="6" s="1"/>
  <c r="L395" i="6" s="1"/>
  <c r="L396" i="6" l="1"/>
  <c r="Q295" i="6"/>
  <c r="L397" i="6" l="1"/>
  <c r="L398" i="6" l="1"/>
  <c r="Q303" i="6"/>
  <c r="L399" i="6" l="1"/>
  <c r="L400" i="6" l="1"/>
  <c r="L401" i="6" l="1"/>
  <c r="R314" i="6"/>
  <c r="Q314" i="6"/>
  <c r="Q301" i="6" l="1"/>
  <c r="L402" i="6"/>
  <c r="L403" i="6" s="1"/>
  <c r="L404" i="6" s="1"/>
  <c r="L405" i="6" s="1"/>
  <c r="Q311" i="6"/>
  <c r="Q305" i="6" l="1"/>
  <c r="L406" i="6"/>
  <c r="R321" i="6"/>
  <c r="Q321" i="6"/>
  <c r="L407" i="6" l="1"/>
  <c r="L408" i="6"/>
  <c r="Q307" i="6"/>
  <c r="Q317" i="6"/>
  <c r="L409" i="6" l="1"/>
  <c r="R328" i="6"/>
  <c r="Q328" i="6"/>
  <c r="N157" i="2"/>
  <c r="N175" i="2"/>
  <c r="N166" i="2"/>
  <c r="L410" i="6" l="1"/>
  <c r="Q327" i="6"/>
  <c r="L411" i="6" l="1"/>
  <c r="L412" i="6" l="1"/>
  <c r="L413" i="6" s="1"/>
  <c r="L414" i="6" l="1"/>
  <c r="L415" i="6" s="1"/>
  <c r="L416" i="6" s="1"/>
  <c r="N225" i="2"/>
  <c r="N206" i="2"/>
  <c r="L417" i="6" l="1"/>
  <c r="Q316" i="6"/>
  <c r="L418" i="6" l="1"/>
  <c r="L419" i="6" s="1"/>
  <c r="R335" i="6"/>
  <c r="Q335" i="6"/>
  <c r="L420" i="6" l="1"/>
  <c r="Q337" i="6"/>
  <c r="L421" i="6" l="1"/>
  <c r="N195" i="2"/>
  <c r="M195" i="2"/>
  <c r="N244" i="2"/>
  <c r="M244" i="2"/>
  <c r="N186" i="2"/>
  <c r="M65" i="2"/>
  <c r="N65" i="2"/>
  <c r="Q64" i="2" s="1"/>
  <c r="M22" i="2"/>
  <c r="N22" i="2"/>
  <c r="N252" i="2"/>
  <c r="N167" i="2"/>
  <c r="N236" i="2"/>
  <c r="N158" i="2"/>
  <c r="M158" i="2"/>
  <c r="L422" i="6" l="1"/>
  <c r="L423" i="6" s="1"/>
  <c r="L424" i="6" s="1"/>
  <c r="L425" i="6" s="1"/>
  <c r="Q19" i="2"/>
  <c r="O22" i="2"/>
  <c r="R19" i="2" s="1"/>
  <c r="Q183" i="2"/>
  <c r="Q251" i="2"/>
  <c r="Q173" i="2"/>
  <c r="Q243" i="2"/>
  <c r="O244" i="2"/>
  <c r="O65" i="2"/>
  <c r="R64" i="2" s="1"/>
  <c r="O158" i="2"/>
  <c r="Q155" i="2"/>
  <c r="Q193" i="2"/>
  <c r="O195" i="2"/>
  <c r="Q325" i="6" l="1"/>
  <c r="L426" i="6"/>
  <c r="R155" i="2"/>
  <c r="Q342" i="6"/>
  <c r="R342" i="6"/>
  <c r="R193" i="2"/>
  <c r="R251" i="2"/>
  <c r="R243" i="2"/>
  <c r="L427" i="6" l="1"/>
  <c r="L428" i="6" s="1"/>
  <c r="L429" i="6" s="1"/>
  <c r="L430" i="6" s="1"/>
  <c r="L431" i="6" s="1"/>
  <c r="L432" i="6" l="1"/>
  <c r="L433" i="6" s="1"/>
  <c r="L434" i="6" s="1"/>
  <c r="L435" i="6"/>
  <c r="L436" i="6" s="1"/>
  <c r="L437" i="6" s="1"/>
  <c r="Q334" i="6"/>
  <c r="R183" i="2"/>
  <c r="R173" i="2"/>
  <c r="L438" i="6" l="1"/>
  <c r="Q348" i="6"/>
  <c r="L439" i="6" l="1"/>
  <c r="Q349" i="6"/>
  <c r="L440" i="6" l="1"/>
  <c r="L441" i="6" l="1"/>
  <c r="Q361" i="6"/>
  <c r="L442" i="6" l="1"/>
  <c r="L443" i="6" l="1"/>
  <c r="L444" i="6" l="1"/>
  <c r="L445" i="6" s="1"/>
  <c r="L446" i="6" s="1"/>
  <c r="L447" i="6" s="1"/>
  <c r="L448" i="6" s="1"/>
  <c r="L449" i="6" s="1"/>
  <c r="L450" i="6" s="1"/>
  <c r="L451" i="6" s="1"/>
  <c r="L452" i="6" s="1"/>
  <c r="L453" i="6" s="1"/>
  <c r="L454" i="6" s="1"/>
  <c r="L455" i="6" s="1"/>
  <c r="L456" i="6" s="1"/>
  <c r="L457" i="6" s="1"/>
  <c r="L458" i="6" s="1"/>
  <c r="L459" i="6" s="1"/>
  <c r="L460" i="6" s="1"/>
  <c r="L461" i="6" s="1"/>
  <c r="L462" i="6" s="1"/>
  <c r="L463" i="6" s="1"/>
  <c r="L464" i="6" s="1"/>
  <c r="L465" i="6" s="1"/>
  <c r="Q365" i="6" s="1"/>
  <c r="Q359" i="6"/>
  <c r="Q347" i="6"/>
  <c r="L466" i="6" l="1"/>
  <c r="L467" i="6" l="1"/>
  <c r="L468" i="6" l="1"/>
  <c r="L469" i="6" l="1"/>
  <c r="L470" i="6" l="1"/>
  <c r="L471" i="6" s="1"/>
  <c r="Q369" i="6"/>
  <c r="L472" i="6" l="1"/>
  <c r="L473" i="6" s="1"/>
  <c r="L474" i="6" s="1"/>
  <c r="Q371" i="6"/>
  <c r="L475" i="6" l="1"/>
  <c r="L476" i="6" l="1"/>
  <c r="L477" i="6" l="1"/>
  <c r="Q377" i="6" s="1"/>
  <c r="L478" i="6" l="1"/>
  <c r="Q378" i="6" l="1"/>
  <c r="L479" i="6"/>
  <c r="L480" i="6" l="1"/>
  <c r="R379" i="6"/>
  <c r="Q379" i="6"/>
  <c r="L481" i="6" l="1"/>
  <c r="L482" i="6" l="1"/>
  <c r="L483" i="6" s="1"/>
  <c r="L484" i="6" l="1"/>
  <c r="L485" i="6" s="1"/>
  <c r="L486" i="6" s="1"/>
  <c r="R383" i="6"/>
  <c r="Q383" i="6"/>
  <c r="Q385" i="6"/>
  <c r="R385" i="6"/>
  <c r="L487" i="6" l="1"/>
  <c r="L488" i="6" l="1"/>
  <c r="Q388" i="6" l="1"/>
  <c r="L489" i="6"/>
  <c r="Q389" i="6" s="1"/>
  <c r="L490" i="6" l="1"/>
  <c r="L491" i="6" l="1"/>
  <c r="L492" i="6" l="1"/>
  <c r="Q391" i="6"/>
  <c r="R391" i="6"/>
  <c r="L493" i="6" l="1"/>
  <c r="L494" i="6" s="1"/>
  <c r="L495" i="6" s="1"/>
  <c r="Q397" i="6"/>
  <c r="L496" i="6" l="1"/>
  <c r="L497" i="6" s="1"/>
  <c r="L498" i="6" s="1"/>
  <c r="L499" i="6" s="1"/>
  <c r="Q395" i="6"/>
  <c r="L500" i="6" l="1"/>
  <c r="L501" i="6" l="1"/>
  <c r="Q401" i="6" s="1"/>
  <c r="L502" i="6" l="1"/>
  <c r="L503" i="6" l="1"/>
  <c r="L504" i="6" l="1"/>
  <c r="Q403" i="6"/>
  <c r="L505" i="6" l="1"/>
  <c r="L506" i="6" l="1"/>
  <c r="L507" i="6" l="1"/>
  <c r="Q407" i="6" s="1"/>
  <c r="L508" i="6" l="1"/>
  <c r="Q408" i="6" l="1"/>
  <c r="L509" i="6"/>
  <c r="L510" i="6" l="1"/>
  <c r="M97" i="2"/>
  <c r="N97" i="2"/>
  <c r="M111" i="2"/>
  <c r="N111" i="2"/>
  <c r="M85" i="2"/>
  <c r="N85" i="2"/>
  <c r="Q79" i="2" s="1"/>
  <c r="L511" i="6" l="1"/>
  <c r="Q415" i="6"/>
  <c r="O97" i="2"/>
  <c r="O111" i="2"/>
  <c r="Q109" i="2"/>
  <c r="O85" i="2"/>
  <c r="R79" i="2" s="1"/>
  <c r="L512" i="6" l="1"/>
  <c r="L513" i="6" s="1"/>
  <c r="Q413" i="6" s="1"/>
  <c r="L514" i="6" l="1"/>
  <c r="L515" i="6"/>
  <c r="N53" i="2"/>
  <c r="L516" i="6" l="1"/>
  <c r="L517" i="6" s="1"/>
  <c r="Q417" i="6" l="1"/>
  <c r="L518" i="6"/>
  <c r="L519" i="6" l="1"/>
  <c r="Q419" i="6" l="1"/>
  <c r="L520" i="6"/>
  <c r="L521" i="6" s="1"/>
  <c r="L522" i="6" s="1"/>
  <c r="L523" i="6" l="1"/>
  <c r="L524" i="6" l="1"/>
  <c r="Q423" i="6"/>
  <c r="L525" i="6" l="1"/>
  <c r="Q425" i="6" l="1"/>
  <c r="L526" i="6"/>
  <c r="L527" i="6" l="1"/>
  <c r="L528" i="6" l="1"/>
  <c r="Q96" i="2"/>
  <c r="Q99" i="2"/>
  <c r="Q84" i="2"/>
  <c r="L529" i="6" l="1"/>
  <c r="R84" i="2"/>
  <c r="R80" i="2"/>
  <c r="L530" i="6" l="1"/>
  <c r="L531" i="6" s="1"/>
  <c r="L532" i="6" l="1"/>
  <c r="Q431" i="6"/>
  <c r="L533" i="6" l="1"/>
  <c r="L534" i="6" l="1"/>
  <c r="L535" i="6" l="1"/>
  <c r="L536" i="6" l="1"/>
  <c r="L537" i="6" l="1"/>
  <c r="Q437" i="6" s="1"/>
  <c r="L538" i="6" l="1"/>
  <c r="L539" i="6" l="1"/>
  <c r="L540" i="6" l="1"/>
  <c r="Q439" i="6"/>
  <c r="L541" i="6" l="1"/>
  <c r="Q441" i="6" s="1"/>
  <c r="L542" i="6" l="1"/>
  <c r="L543" i="6" l="1"/>
  <c r="M57" i="2"/>
  <c r="N57" i="2"/>
  <c r="Q443" i="6" l="1"/>
  <c r="O57" i="2"/>
  <c r="L544" i="6"/>
  <c r="Q264" i="2"/>
  <c r="Q266" i="2"/>
  <c r="L545" i="6" l="1"/>
  <c r="R266" i="2"/>
  <c r="R264" i="2"/>
  <c r="L546" i="6" l="1"/>
  <c r="L547" i="6" l="1"/>
  <c r="L548" i="6" s="1"/>
  <c r="Q447" i="6"/>
  <c r="R109" i="2"/>
  <c r="R99" i="2"/>
  <c r="L549" i="6" l="1"/>
  <c r="Q449" i="6" l="1"/>
  <c r="L550" i="6"/>
  <c r="L551" i="6" l="1"/>
  <c r="L552" i="6" l="1"/>
  <c r="M74" i="2"/>
  <c r="N74" i="2"/>
  <c r="L553" i="6" l="1"/>
  <c r="O74" i="2"/>
  <c r="M52" i="2"/>
  <c r="L554" i="6" l="1"/>
  <c r="O52" i="2"/>
  <c r="L555" i="6" l="1"/>
  <c r="L556" i="6" l="1"/>
  <c r="Q455" i="6"/>
  <c r="R455" i="6"/>
  <c r="N164" i="2"/>
  <c r="M164" i="2"/>
  <c r="N192" i="2"/>
  <c r="L557" i="6" l="1"/>
  <c r="L558" i="6"/>
  <c r="O164" i="2"/>
  <c r="Q458" i="6" l="1"/>
  <c r="L559" i="6"/>
  <c r="L560" i="6" l="1"/>
  <c r="Q460" i="6" s="1"/>
  <c r="M223" i="2"/>
  <c r="L561" i="6" l="1"/>
  <c r="N223" i="2"/>
  <c r="L562" i="6" l="1"/>
  <c r="R461" i="6"/>
  <c r="Q461" i="6"/>
  <c r="O223" i="2"/>
  <c r="L563" i="6" l="1"/>
  <c r="L564" i="6" l="1"/>
  <c r="N165" i="2"/>
  <c r="N184" i="2"/>
  <c r="N174" i="2"/>
  <c r="M242" i="2"/>
  <c r="N242" i="2"/>
  <c r="Q240" i="2" s="1"/>
  <c r="N224" i="2"/>
  <c r="N234" i="2"/>
  <c r="M234" i="2"/>
  <c r="M156" i="2"/>
  <c r="N156" i="2"/>
  <c r="M76" i="2"/>
  <c r="N76" i="2"/>
  <c r="N54" i="2"/>
  <c r="L565" i="6" l="1"/>
  <c r="Q204" i="2"/>
  <c r="Q214" i="2"/>
  <c r="Q73" i="2"/>
  <c r="Q211" i="2"/>
  <c r="Q220" i="2"/>
  <c r="Q224" i="2"/>
  <c r="Q247" i="2"/>
  <c r="Q246" i="2"/>
  <c r="Q238" i="2"/>
  <c r="Q239" i="2"/>
  <c r="Q229" i="2"/>
  <c r="Q232" i="2"/>
  <c r="Q174" i="2"/>
  <c r="Q80" i="2"/>
  <c r="Q54" i="2"/>
  <c r="Q200" i="2"/>
  <c r="Q156" i="2"/>
  <c r="Q154" i="2"/>
  <c r="Q182" i="2"/>
  <c r="Q163" i="2"/>
  <c r="Q190" i="2"/>
  <c r="Q61" i="2"/>
  <c r="Q75" i="2"/>
  <c r="O76" i="2"/>
  <c r="Q203" i="2"/>
  <c r="O156" i="2"/>
  <c r="Q181" i="2"/>
  <c r="Q256" i="2"/>
  <c r="Q222" i="2"/>
  <c r="Q241" i="2"/>
  <c r="O242" i="2"/>
  <c r="R240" i="2" s="1"/>
  <c r="O234" i="2"/>
  <c r="R232" i="2" s="1"/>
  <c r="Q233" i="2"/>
  <c r="AC13" i="2"/>
  <c r="W18" i="2"/>
  <c r="Q50" i="2"/>
  <c r="L566" i="6" l="1"/>
  <c r="L567" i="6" s="1"/>
  <c r="R214" i="2"/>
  <c r="R204" i="2"/>
  <c r="R239" i="2"/>
  <c r="R61" i="2"/>
  <c r="R211" i="2"/>
  <c r="R154" i="2"/>
  <c r="R222" i="2"/>
  <c r="R224" i="2"/>
  <c r="R203" i="2"/>
  <c r="R200" i="2"/>
  <c r="R246" i="2"/>
  <c r="R190" i="2"/>
  <c r="R50" i="2"/>
  <c r="R54" i="2"/>
  <c r="R229" i="2"/>
  <c r="R256" i="2"/>
  <c r="R163" i="2"/>
  <c r="R220" i="2"/>
  <c r="R247" i="2"/>
  <c r="R75" i="2"/>
  <c r="R73" i="2"/>
  <c r="R241" i="2"/>
  <c r="R238" i="2"/>
  <c r="L568" i="6" l="1"/>
  <c r="Q467" i="6"/>
  <c r="L569" i="6" l="1"/>
  <c r="R168" i="2"/>
  <c r="R181" i="2"/>
  <c r="R182" i="2"/>
  <c r="L570" i="6" l="1"/>
  <c r="L571" i="6" l="1"/>
  <c r="L572" i="6" l="1"/>
  <c r="L573" i="6" l="1"/>
  <c r="L574" i="6" l="1"/>
  <c r="Q473" i="6"/>
  <c r="L575" i="6" l="1"/>
  <c r="Q475" i="6" l="1"/>
  <c r="L576" i="6"/>
  <c r="L577" i="6" l="1"/>
  <c r="L578" i="6" l="1"/>
  <c r="R96" i="2"/>
  <c r="L579" i="6" l="1"/>
  <c r="R479" i="6"/>
  <c r="Q479" i="6"/>
  <c r="L580" i="6" l="1"/>
  <c r="L581" i="6" s="1"/>
  <c r="L582" i="6" l="1"/>
  <c r="L583" i="6" l="1"/>
  <c r="L584" i="6" l="1"/>
  <c r="Q484" i="6" l="1"/>
  <c r="L585" i="6"/>
  <c r="L586" i="6" l="1"/>
  <c r="Q486" i="6" s="1"/>
  <c r="R485" i="6"/>
  <c r="Q485" i="6"/>
  <c r="L587" i="6" l="1"/>
  <c r="L588" i="6" l="1"/>
  <c r="L589" i="6" l="1"/>
  <c r="L590" i="6" l="1"/>
  <c r="L591" i="6" s="1"/>
  <c r="L592" i="6" l="1"/>
  <c r="R491" i="6"/>
  <c r="Q491" i="6"/>
  <c r="Q492" i="6" l="1"/>
  <c r="L593" i="6"/>
  <c r="L594" i="6" l="1"/>
  <c r="L595" i="6" s="1"/>
  <c r="L596" i="6" s="1"/>
  <c r="L597" i="6" s="1"/>
  <c r="Q497" i="6"/>
  <c r="R497" i="6"/>
  <c r="L598" i="6" l="1"/>
  <c r="L599" i="6" s="1"/>
  <c r="Q499" i="6" s="1"/>
  <c r="L600" i="6" l="1"/>
  <c r="R503" i="6"/>
  <c r="Q503" i="6"/>
  <c r="Q500" i="6" l="1"/>
  <c r="L601" i="6"/>
  <c r="R509" i="6"/>
  <c r="Q509" i="6"/>
  <c r="L602" i="6" l="1"/>
  <c r="L603" i="6" s="1"/>
  <c r="L604" i="6" s="1"/>
  <c r="L605" i="6" s="1"/>
  <c r="L606" i="6" s="1"/>
  <c r="L607" i="6" s="1"/>
  <c r="L608" i="6" l="1"/>
  <c r="Q507" i="6"/>
  <c r="R515" i="6"/>
  <c r="Q515" i="6"/>
  <c r="L609" i="6" l="1"/>
  <c r="L610" i="6" s="1"/>
  <c r="L611" i="6" s="1"/>
  <c r="L612" i="6" s="1"/>
  <c r="L613" i="6" s="1"/>
  <c r="L614" i="6" s="1"/>
  <c r="Q508" i="6"/>
  <c r="Q513" i="6"/>
  <c r="L615" i="6" l="1"/>
  <c r="L616" i="6" s="1"/>
  <c r="L617" i="6" s="1"/>
  <c r="L618" i="6" s="1"/>
  <c r="L619" i="6" s="1"/>
  <c r="L620" i="6" l="1"/>
  <c r="Q519" i="6"/>
  <c r="R521" i="6"/>
  <c r="Q521" i="6"/>
  <c r="L621" i="6" l="1"/>
  <c r="L622" i="6" s="1"/>
  <c r="L623" i="6" s="1"/>
  <c r="L624" i="6" s="1"/>
  <c r="L625" i="6" s="1"/>
  <c r="L626" i="6" l="1"/>
  <c r="R527" i="6"/>
  <c r="Q527" i="6"/>
  <c r="L627" i="6" l="1"/>
  <c r="Q526" i="6"/>
  <c r="L628" i="6" l="1"/>
  <c r="L629" i="6" s="1"/>
  <c r="L630" i="6" s="1"/>
  <c r="L631" i="6" s="1"/>
  <c r="L632" i="6" s="1"/>
  <c r="R532" i="6" l="1"/>
  <c r="Q532" i="6"/>
  <c r="L633" i="6"/>
  <c r="Q539" i="6"/>
  <c r="L634" i="6" l="1"/>
  <c r="L635" i="6" s="1"/>
  <c r="L636" i="6" s="1"/>
  <c r="L637" i="6" s="1"/>
  <c r="L638" i="6" s="1"/>
  <c r="L639" i="6" s="1"/>
  <c r="L640" i="6" s="1"/>
  <c r="Q540" i="6" s="1"/>
  <c r="R533" i="6"/>
  <c r="Q533" i="6"/>
  <c r="L641" i="6" l="1"/>
  <c r="L642" i="6" s="1"/>
  <c r="L643" i="6" s="1"/>
  <c r="L644" i="6" s="1"/>
  <c r="L645" i="6" s="1"/>
  <c r="L646" i="6" s="1"/>
  <c r="R545" i="6"/>
  <c r="Q545" i="6"/>
  <c r="R546" i="6" l="1"/>
  <c r="Q546" i="6"/>
  <c r="L647" i="6"/>
  <c r="L648" i="6" l="1"/>
  <c r="L649" i="6" s="1"/>
  <c r="L650" i="6" l="1"/>
  <c r="L651" i="6" l="1"/>
  <c r="L652" i="6" l="1"/>
  <c r="R551" i="6"/>
  <c r="Q551" i="6"/>
  <c r="Q552" i="6" l="1"/>
  <c r="L653" i="6"/>
  <c r="Q553" i="6" s="1"/>
  <c r="L654" i="6" l="1"/>
  <c r="L655" i="6" l="1"/>
  <c r="L656" i="6" s="1"/>
  <c r="L657" i="6" s="1"/>
  <c r="L658" i="6" l="1"/>
  <c r="R557" i="6"/>
  <c r="Q557" i="6"/>
  <c r="L659" i="6" l="1"/>
  <c r="L660" i="6" l="1"/>
  <c r="L661" i="6" s="1"/>
  <c r="Q561" i="6" l="1"/>
  <c r="L662" i="6"/>
  <c r="L663" i="6" l="1"/>
  <c r="L664" i="6" l="1"/>
  <c r="R563" i="6"/>
  <c r="Q563" i="6"/>
  <c r="L665" i="6" l="1"/>
  <c r="Q565" i="6" l="1"/>
  <c r="L666" i="6"/>
  <c r="L667" i="6" l="1"/>
  <c r="L668" i="6" s="1"/>
  <c r="L669" i="6" s="1"/>
  <c r="L670" i="6" l="1"/>
  <c r="Q569" i="6"/>
  <c r="R569" i="6"/>
  <c r="R570" i="6" l="1"/>
  <c r="Q570" i="6"/>
  <c r="L671" i="6"/>
  <c r="L672" i="6" s="1"/>
  <c r="L673" i="6" s="1"/>
  <c r="L674" i="6" s="1"/>
  <c r="L675" i="6" s="1"/>
  <c r="L676" i="6" l="1"/>
  <c r="R575" i="6"/>
  <c r="Q575" i="6"/>
  <c r="Q576" i="6" l="1"/>
  <c r="I33" i="6"/>
  <c r="J33" i="6" s="1"/>
  <c r="I283" i="6"/>
  <c r="J283" i="6" s="1"/>
  <c r="I289" i="6"/>
  <c r="J289" i="6" s="1"/>
  <c r="I301" i="6"/>
  <c r="J301" i="6" s="1"/>
  <c r="I275" i="6" s="1"/>
  <c r="J275" i="6" s="1"/>
  <c r="M275" i="6" s="1"/>
  <c r="O275" i="6" s="1"/>
  <c r="I377" i="6"/>
  <c r="J377" i="6" s="1"/>
  <c r="I450" i="6" s="1"/>
  <c r="J450" i="6" s="1"/>
  <c r="I383" i="6"/>
  <c r="J383" i="6" s="1"/>
  <c r="I461" i="6" s="1"/>
  <c r="J461" i="6" s="1"/>
  <c r="I395" i="6"/>
  <c r="J395" i="6" s="1"/>
  <c r="I487" i="6" s="1"/>
  <c r="J487" i="6" s="1"/>
  <c r="M487" i="6" s="1"/>
  <c r="O487" i="6" s="1"/>
  <c r="I401" i="6"/>
  <c r="J401" i="6" s="1"/>
  <c r="I413" i="6"/>
  <c r="J413" i="6" s="1"/>
  <c r="I602" i="6" s="1"/>
  <c r="J602" i="6" s="1"/>
  <c r="M602" i="6" s="1"/>
  <c r="O602" i="6" s="1"/>
  <c r="I437" i="6"/>
  <c r="J437" i="6" s="1"/>
  <c r="I654" i="6" s="1"/>
  <c r="J654" i="6" s="1"/>
  <c r="I533" i="6"/>
  <c r="J533" i="6" s="1"/>
  <c r="I511" i="6" s="1"/>
  <c r="J511" i="6" s="1"/>
  <c r="M511" i="6" s="1"/>
  <c r="O511" i="6" s="1"/>
  <c r="I546" i="6"/>
  <c r="J546" i="6" s="1"/>
  <c r="I570" i="6"/>
  <c r="J570" i="6" s="1"/>
  <c r="I576" i="6"/>
  <c r="J576" i="6" s="1"/>
  <c r="I582" i="6"/>
  <c r="J582" i="6" s="1"/>
  <c r="I562" i="6" s="1"/>
  <c r="J562" i="6" s="1"/>
  <c r="M562" i="6" s="1"/>
  <c r="O562" i="6" s="1"/>
  <c r="Q578" i="6"/>
  <c r="R581" i="6"/>
  <c r="Q581" i="6"/>
  <c r="I230" i="6" l="1"/>
  <c r="J230" i="6" s="1"/>
  <c r="M230" i="6" s="1"/>
  <c r="O230" i="6" s="1"/>
  <c r="I268" i="2"/>
  <c r="J268" i="2" s="1"/>
  <c r="I268" i="6"/>
  <c r="J268" i="6" s="1"/>
  <c r="M268" i="6" s="1"/>
  <c r="O268" i="6" s="1"/>
  <c r="I276" i="6"/>
  <c r="J276" i="6" s="1"/>
  <c r="M276" i="6" s="1"/>
  <c r="O276" i="6" s="1"/>
  <c r="I564" i="6"/>
  <c r="J564" i="6" s="1"/>
  <c r="M564" i="6" s="1"/>
  <c r="O564" i="6" s="1"/>
  <c r="I555" i="6"/>
  <c r="J555" i="6" s="1"/>
  <c r="M555" i="6" s="1"/>
  <c r="O555" i="6" s="1"/>
  <c r="I277" i="6"/>
  <c r="J277" i="6" s="1"/>
  <c r="I269" i="6"/>
  <c r="J269" i="6" s="1"/>
  <c r="I554" i="6"/>
  <c r="J554" i="6" s="1"/>
  <c r="M554" i="6" s="1"/>
  <c r="O554" i="6" s="1"/>
  <c r="I563" i="6"/>
  <c r="J563" i="6" s="1"/>
  <c r="M563" i="6" s="1"/>
  <c r="O563" i="6" s="1"/>
  <c r="I500" i="6"/>
  <c r="J500" i="6" s="1"/>
  <c r="M500" i="6" s="1"/>
  <c r="O500" i="6" s="1"/>
  <c r="I509" i="6"/>
  <c r="J509" i="6" s="1"/>
  <c r="M509" i="6" s="1"/>
  <c r="O509" i="6" s="1"/>
  <c r="Q587" i="6"/>
  <c r="R582" i="6" l="1"/>
  <c r="Q582" i="6"/>
  <c r="Q588" i="6" l="1"/>
  <c r="Q589" i="6"/>
  <c r="Q600" i="6" l="1"/>
  <c r="Q599" i="6" l="1"/>
  <c r="Q613" i="6"/>
  <c r="Q601" i="6" l="1"/>
  <c r="Q607" i="6" l="1"/>
  <c r="Q624" i="6" l="1"/>
  <c r="Q617" i="6" l="1"/>
  <c r="Q632" i="6"/>
  <c r="Q614" i="6" l="1"/>
  <c r="Q642" i="6" l="1"/>
  <c r="R642" i="6"/>
  <c r="Q627" i="6" l="1"/>
  <c r="R648" i="6" l="1"/>
  <c r="Q648" i="6"/>
  <c r="Q640" i="6" l="1"/>
  <c r="R654" i="6" l="1"/>
  <c r="Q654" i="6"/>
  <c r="R660" i="6" l="1"/>
  <c r="Q660" i="6"/>
  <c r="Q653" i="6" l="1"/>
  <c r="Q666" i="6" l="1"/>
  <c r="M43" i="2" l="1"/>
  <c r="O43" i="2" s="1"/>
  <c r="M174" i="2" l="1"/>
  <c r="O174" i="2" s="1"/>
  <c r="R174" i="2" s="1"/>
  <c r="M54" i="2"/>
  <c r="O54" i="2" l="1"/>
  <c r="M86" i="2"/>
  <c r="N86" i="2"/>
  <c r="N73" i="2"/>
  <c r="M73" i="2"/>
  <c r="N56" i="2"/>
  <c r="M56" i="2"/>
  <c r="M95" i="2"/>
  <c r="N95" i="2"/>
  <c r="Q88" i="2" s="1"/>
  <c r="M64" i="2"/>
  <c r="N64" i="2"/>
  <c r="N266" i="2"/>
  <c r="M162" i="2"/>
  <c r="N162" i="2"/>
  <c r="M34" i="2"/>
  <c r="N181" i="2"/>
  <c r="M53" i="2"/>
  <c r="N248" i="2"/>
  <c r="M248" i="2"/>
  <c r="N173" i="2"/>
  <c r="M173" i="2"/>
  <c r="M275" i="2"/>
  <c r="N275" i="2"/>
  <c r="Q268" i="2" s="1"/>
  <c r="M33" i="2"/>
  <c r="O33" i="2" s="1"/>
  <c r="N63" i="2"/>
  <c r="M63" i="2"/>
  <c r="N276" i="2"/>
  <c r="M276" i="2"/>
  <c r="M189" i="2"/>
  <c r="N189" i="2"/>
  <c r="N55" i="2"/>
  <c r="M55" i="2"/>
  <c r="O56" i="2" l="1"/>
  <c r="O34" i="2"/>
  <c r="O64" i="2"/>
  <c r="O73" i="2"/>
  <c r="Q63" i="2"/>
  <c r="Q55" i="2"/>
  <c r="O248" i="2"/>
  <c r="O276" i="2"/>
  <c r="M72" i="2"/>
  <c r="N72" i="2"/>
  <c r="O53" i="2"/>
  <c r="Q245" i="2"/>
  <c r="M39" i="2"/>
  <c r="M35" i="2"/>
  <c r="Q52" i="2"/>
  <c r="O55" i="2"/>
  <c r="R55" i="2" s="1"/>
  <c r="M42" i="2"/>
  <c r="O42" i="2" s="1"/>
  <c r="O189" i="2"/>
  <c r="Q188" i="2"/>
  <c r="Q62" i="2"/>
  <c r="O63" i="2"/>
  <c r="O173" i="2"/>
  <c r="Q172" i="2"/>
  <c r="M37" i="2"/>
  <c r="O37" i="2" s="1"/>
  <c r="O162" i="2"/>
  <c r="O95" i="2"/>
  <c r="R88" i="2" s="1"/>
  <c r="Q85" i="2"/>
  <c r="O86" i="2"/>
  <c r="M38" i="2"/>
  <c r="O275" i="2"/>
  <c r="Q274" i="2"/>
  <c r="Q255" i="2"/>
  <c r="Q227" i="2"/>
  <c r="M36" i="2"/>
  <c r="O36" i="2" s="1"/>
  <c r="O38" i="2" l="1"/>
  <c r="O72" i="2"/>
  <c r="R85" i="2"/>
  <c r="N190" i="2"/>
  <c r="N176" i="2"/>
  <c r="M176" i="2"/>
  <c r="N177" i="2"/>
  <c r="M177" i="2"/>
  <c r="O35" i="2"/>
  <c r="O39" i="2"/>
  <c r="R188" i="2"/>
  <c r="R274" i="2"/>
  <c r="R62" i="2"/>
  <c r="R63" i="2"/>
  <c r="R172" i="2"/>
  <c r="Q71" i="2"/>
  <c r="M110" i="2"/>
  <c r="N110" i="2"/>
  <c r="M96" i="2"/>
  <c r="N96" i="2"/>
  <c r="N32" i="2"/>
  <c r="M163" i="2"/>
  <c r="N163" i="2"/>
  <c r="R52" i="2"/>
  <c r="O177" i="2" l="1"/>
  <c r="R245" i="2"/>
  <c r="R71" i="2"/>
  <c r="M253" i="2"/>
  <c r="O253" i="2" s="1"/>
  <c r="M252" i="2"/>
  <c r="M190" i="2"/>
  <c r="Q175" i="2"/>
  <c r="O176" i="2"/>
  <c r="R175" i="2" s="1"/>
  <c r="Q171" i="2"/>
  <c r="M270" i="2"/>
  <c r="O270" i="2" s="1"/>
  <c r="Q189" i="2"/>
  <c r="R233" i="2"/>
  <c r="R255" i="2"/>
  <c r="Q106" i="2"/>
  <c r="Q162" i="2"/>
  <c r="M175" i="2"/>
  <c r="O163" i="2"/>
  <c r="Q161" i="2"/>
  <c r="O96" i="2"/>
  <c r="Q94" i="2"/>
  <c r="O110" i="2"/>
  <c r="Q31" i="2"/>
  <c r="O252" i="2" l="1"/>
  <c r="O190" i="2"/>
  <c r="R94" i="2"/>
  <c r="R189" i="2"/>
  <c r="O175" i="2"/>
  <c r="R106" i="2"/>
  <c r="R161" i="2"/>
  <c r="R162" i="2"/>
  <c r="R171" i="2" l="1"/>
  <c r="M271" i="2"/>
  <c r="O271" i="2" l="1"/>
  <c r="R268" i="2" l="1"/>
  <c r="M259" i="6" l="1"/>
  <c r="O259" i="6" s="1"/>
  <c r="M29" i="6"/>
  <c r="O29" i="6" l="1"/>
  <c r="M601" i="6"/>
  <c r="M373" i="6"/>
  <c r="O373" i="6" s="1"/>
  <c r="M614" i="6"/>
  <c r="M307" i="6"/>
  <c r="M260" i="6"/>
  <c r="M305" i="6"/>
  <c r="M633" i="6"/>
  <c r="M130" i="6"/>
  <c r="M166" i="6"/>
  <c r="M370" i="6"/>
  <c r="M164" i="6"/>
  <c r="O164" i="6" s="1"/>
  <c r="M304" i="6"/>
  <c r="O304" i="6" s="1"/>
  <c r="M588" i="6"/>
  <c r="M143" i="6"/>
  <c r="M104" i="6"/>
  <c r="M636" i="6"/>
  <c r="O636" i="6" s="1"/>
  <c r="O307" i="6" l="1"/>
  <c r="O305" i="6"/>
  <c r="O166" i="6"/>
  <c r="O260" i="6"/>
  <c r="R348" i="6"/>
  <c r="R28" i="6"/>
  <c r="R27" i="6"/>
  <c r="M163" i="6"/>
  <c r="M250" i="6"/>
  <c r="M372" i="6"/>
  <c r="O372" i="6" s="1"/>
  <c r="O143" i="6"/>
  <c r="O633" i="6"/>
  <c r="M625" i="6"/>
  <c r="M634" i="6"/>
  <c r="O634" i="6" s="1"/>
  <c r="M371" i="6"/>
  <c r="O104" i="6"/>
  <c r="R103" i="6" s="1"/>
  <c r="O588" i="6"/>
  <c r="M252" i="6"/>
  <c r="O370" i="6"/>
  <c r="M251" i="6"/>
  <c r="O251" i="6" s="1"/>
  <c r="M627" i="6"/>
  <c r="M637" i="6"/>
  <c r="O637" i="6" s="1"/>
  <c r="M669" i="6"/>
  <c r="O669" i="6" s="1"/>
  <c r="O130" i="6"/>
  <c r="M635" i="6"/>
  <c r="O635" i="6" s="1"/>
  <c r="M626" i="6"/>
  <c r="O626" i="6" s="1"/>
  <c r="O614" i="6"/>
  <c r="O601" i="6"/>
  <c r="M670" i="6"/>
  <c r="O670" i="6" s="1"/>
  <c r="O371" i="6" l="1"/>
  <c r="I371" i="6"/>
  <c r="J371" i="6" s="1"/>
  <c r="I335" i="6" s="1"/>
  <c r="J335" i="6" s="1"/>
  <c r="M335" i="6" s="1"/>
  <c r="R587" i="6"/>
  <c r="O627" i="6"/>
  <c r="O252" i="6"/>
  <c r="R600" i="6"/>
  <c r="R142" i="6"/>
  <c r="R129" i="6"/>
  <c r="R613" i="6"/>
  <c r="R41" i="6"/>
  <c r="O163" i="6"/>
  <c r="R162" i="6" s="1"/>
  <c r="O625" i="6"/>
  <c r="R624" i="6" s="1"/>
  <c r="O250" i="6"/>
  <c r="M264" i="6"/>
  <c r="O264" i="6" s="1"/>
  <c r="M433" i="6"/>
  <c r="O433" i="6" s="1"/>
  <c r="M425" i="6"/>
  <c r="M448" i="6"/>
  <c r="M416" i="6"/>
  <c r="M441" i="6"/>
  <c r="M449" i="6"/>
  <c r="M424" i="6"/>
  <c r="M417" i="6"/>
  <c r="M432" i="6"/>
  <c r="I431" i="6" s="1"/>
  <c r="J431" i="6" s="1"/>
  <c r="I641" i="6" s="1"/>
  <c r="J641" i="6" s="1"/>
  <c r="M440" i="6"/>
  <c r="M374" i="6"/>
  <c r="M86" i="6"/>
  <c r="O86" i="6" s="1"/>
  <c r="M407" i="6"/>
  <c r="M406" i="6"/>
  <c r="O406" i="6" s="1"/>
  <c r="M210" i="6"/>
  <c r="O210" i="6" s="1"/>
  <c r="R632" i="6"/>
  <c r="O335" i="6" l="1"/>
  <c r="O407" i="6"/>
  <c r="I407" i="6"/>
  <c r="J407" i="6" s="1"/>
  <c r="I589" i="6" s="1"/>
  <c r="J589" i="6" s="1"/>
  <c r="M589" i="6" s="1"/>
  <c r="O449" i="6"/>
  <c r="O417" i="6"/>
  <c r="O425" i="6"/>
  <c r="O441" i="6"/>
  <c r="R258" i="6"/>
  <c r="O440" i="6"/>
  <c r="O416" i="6"/>
  <c r="O432" i="6"/>
  <c r="R431" i="6" s="1"/>
  <c r="O448" i="6"/>
  <c r="R447" i="6" s="1"/>
  <c r="R361" i="6"/>
  <c r="O374" i="6"/>
  <c r="O424" i="6"/>
  <c r="R423" i="6" s="1"/>
  <c r="R249" i="6"/>
  <c r="M404" i="6"/>
  <c r="M94" i="6"/>
  <c r="M55" i="6"/>
  <c r="O589" i="6" l="1"/>
  <c r="R415" i="6"/>
  <c r="R413" i="6"/>
  <c r="R439" i="6"/>
  <c r="R437" i="6"/>
  <c r="R303" i="6"/>
  <c r="R369" i="6"/>
  <c r="R371" i="6"/>
  <c r="R75" i="6"/>
  <c r="O55" i="6"/>
  <c r="R54" i="6" s="1"/>
  <c r="O94" i="6"/>
  <c r="O404" i="6"/>
  <c r="R401" i="6" s="1"/>
  <c r="M668" i="6"/>
  <c r="O668" i="6" s="1"/>
  <c r="R403" i="6" l="1"/>
  <c r="R93" i="6"/>
  <c r="R83" i="6"/>
  <c r="M40" i="2" l="1"/>
  <c r="N40" i="2"/>
  <c r="N269" i="2"/>
  <c r="M269" i="2"/>
  <c r="M260" i="2"/>
  <c r="N260" i="2"/>
  <c r="M157" i="2"/>
  <c r="M184" i="2"/>
  <c r="O184" i="2" s="1"/>
  <c r="N197" i="2"/>
  <c r="M197" i="2"/>
  <c r="M206" i="2"/>
  <c r="N209" i="2"/>
  <c r="M209" i="2"/>
  <c r="N226" i="2"/>
  <c r="N239" i="2"/>
  <c r="M239" i="2"/>
  <c r="N62" i="2"/>
  <c r="M62" i="2"/>
  <c r="N185" i="2"/>
  <c r="M185" i="2"/>
  <c r="M167" i="2"/>
  <c r="M240" i="2"/>
  <c r="N240" i="2"/>
  <c r="N106" i="2"/>
  <c r="M106" i="2"/>
  <c r="M41" i="2"/>
  <c r="N41" i="2"/>
  <c r="N90" i="2"/>
  <c r="M216" i="2"/>
  <c r="N216" i="2"/>
  <c r="N91" i="2"/>
  <c r="M225" i="2"/>
  <c r="N149" i="2"/>
  <c r="M149" i="2"/>
  <c r="N78" i="2"/>
  <c r="N251" i="2"/>
  <c r="M251" i="2"/>
  <c r="N198" i="2"/>
  <c r="N105" i="2"/>
  <c r="M105" i="2"/>
  <c r="M224" i="2"/>
  <c r="N51" i="2"/>
  <c r="M51" i="2"/>
  <c r="I38" i="2" l="1"/>
  <c r="J41" i="2"/>
  <c r="J42" i="2" s="1"/>
  <c r="O167" i="2"/>
  <c r="Q197" i="2"/>
  <c r="O41" i="2"/>
  <c r="O240" i="2"/>
  <c r="O51" i="2"/>
  <c r="O225" i="2"/>
  <c r="O269" i="2"/>
  <c r="O209" i="2"/>
  <c r="O251" i="2"/>
  <c r="O106" i="2"/>
  <c r="O62" i="2"/>
  <c r="O260" i="2"/>
  <c r="Q38" i="2"/>
  <c r="M186" i="2"/>
  <c r="O186" i="2" s="1"/>
  <c r="M104" i="2"/>
  <c r="O206" i="2"/>
  <c r="Q249" i="2"/>
  <c r="Q103" i="2"/>
  <c r="O105" i="2"/>
  <c r="M166" i="2"/>
  <c r="O166" i="2" s="1"/>
  <c r="Q258" i="2"/>
  <c r="Q205" i="2"/>
  <c r="O216" i="2"/>
  <c r="Q215" i="2"/>
  <c r="Q86" i="2"/>
  <c r="Q223" i="2"/>
  <c r="Q68" i="2"/>
  <c r="M165" i="2"/>
  <c r="Q112" i="2"/>
  <c r="M87" i="2"/>
  <c r="Q47" i="2"/>
  <c r="O185" i="2"/>
  <c r="Q179" i="2"/>
  <c r="Q164" i="2"/>
  <c r="O239" i="2"/>
  <c r="Q236" i="2"/>
  <c r="O224" i="2"/>
  <c r="R223" i="2" s="1"/>
  <c r="Q77" i="2"/>
  <c r="O149" i="2"/>
  <c r="Q147" i="2"/>
  <c r="Q196" i="2"/>
  <c r="O197" i="2"/>
  <c r="O157" i="2"/>
  <c r="Q39" i="2"/>
  <c r="O40" i="2"/>
  <c r="J38" i="2" l="1"/>
  <c r="G19" i="1"/>
  <c r="H19" i="1" s="1"/>
  <c r="I19" i="1" s="1"/>
  <c r="R156" i="2"/>
  <c r="R249" i="2"/>
  <c r="R68" i="2"/>
  <c r="R39" i="2"/>
  <c r="R38" i="2"/>
  <c r="R215" i="2"/>
  <c r="R196" i="2"/>
  <c r="R258" i="2"/>
  <c r="O165" i="2"/>
  <c r="O87" i="2"/>
  <c r="R147" i="2"/>
  <c r="O104" i="2"/>
  <c r="M187" i="2"/>
  <c r="O187" i="2" s="1"/>
  <c r="R179" i="2" s="1"/>
  <c r="R236" i="2"/>
  <c r="R47" i="2" l="1"/>
  <c r="R103" i="2"/>
  <c r="R86" i="2"/>
  <c r="R112" i="2"/>
  <c r="R205" i="2" l="1"/>
  <c r="M32" i="2" l="1"/>
  <c r="I31" i="2" l="1"/>
  <c r="J34" i="2"/>
  <c r="J35" i="2" s="1"/>
  <c r="O32" i="2"/>
  <c r="R31" i="2" s="1"/>
  <c r="J31" i="2" l="1"/>
  <c r="G18" i="1"/>
  <c r="H18" i="1" s="1"/>
  <c r="I18" i="1" s="1"/>
  <c r="I17" i="1" s="1"/>
  <c r="M553" i="6"/>
  <c r="M566" i="6"/>
  <c r="M540" i="6"/>
  <c r="I540" i="6" s="1"/>
  <c r="J540" i="6" s="1"/>
  <c r="I510" i="6" s="1"/>
  <c r="J510" i="6" s="1"/>
  <c r="M510" i="6" s="1"/>
  <c r="O510" i="6" s="1"/>
  <c r="M641" i="6"/>
  <c r="I640" i="6" s="1"/>
  <c r="J640" i="6" s="1"/>
  <c r="M654" i="6"/>
  <c r="I653" i="6" s="1"/>
  <c r="J653" i="6" s="1"/>
  <c r="I200" i="6" l="1"/>
  <c r="J200" i="6" s="1"/>
  <c r="M200" i="6" s="1"/>
  <c r="O200" i="6" s="1"/>
  <c r="I231" i="2"/>
  <c r="J231" i="2" s="1"/>
  <c r="I107" i="6"/>
  <c r="J107" i="6" s="1"/>
  <c r="I126" i="2"/>
  <c r="J126" i="2" s="1"/>
  <c r="O641" i="6"/>
  <c r="R640" i="6" s="1"/>
  <c r="O540" i="6"/>
  <c r="O553" i="6"/>
  <c r="O654" i="6"/>
  <c r="R653" i="6" s="1"/>
  <c r="O566" i="6"/>
  <c r="M231" i="2" l="1"/>
  <c r="N231" i="2"/>
  <c r="O231" i="2" s="1"/>
  <c r="R565" i="6"/>
  <c r="R539" i="6"/>
  <c r="R540" i="6"/>
  <c r="R552" i="6"/>
  <c r="M139" i="6"/>
  <c r="O139" i="6" s="1"/>
  <c r="M159" i="6"/>
  <c r="O159" i="6" s="1"/>
  <c r="M148" i="6"/>
  <c r="O148" i="6" s="1"/>
  <c r="M169" i="6"/>
  <c r="O169" i="6" s="1"/>
  <c r="M269" i="6"/>
  <c r="I267" i="6" s="1"/>
  <c r="J267" i="6" s="1"/>
  <c r="I348" i="6" s="1"/>
  <c r="J348" i="6" s="1"/>
  <c r="M348" i="6" s="1"/>
  <c r="M493" i="6"/>
  <c r="M450" i="6"/>
  <c r="M477" i="6"/>
  <c r="O477" i="6" s="1"/>
  <c r="M418" i="6"/>
  <c r="M485" i="6"/>
  <c r="M442" i="6"/>
  <c r="M468" i="6"/>
  <c r="M461" i="6"/>
  <c r="O461" i="6" s="1"/>
  <c r="M270" i="6"/>
  <c r="O270" i="6" s="1"/>
  <c r="M361" i="6"/>
  <c r="O361" i="6" s="1"/>
  <c r="M410" i="6"/>
  <c r="O410" i="6" s="1"/>
  <c r="M328" i="6"/>
  <c r="M389" i="6"/>
  <c r="M398" i="6"/>
  <c r="M60" i="6"/>
  <c r="O60" i="6" s="1"/>
  <c r="M427" i="6"/>
  <c r="O427" i="6" s="1"/>
  <c r="M118" i="6"/>
  <c r="O118" i="6" s="1"/>
  <c r="M380" i="6"/>
  <c r="O380" i="6" s="1"/>
  <c r="M287" i="6"/>
  <c r="O287" i="6" s="1"/>
  <c r="M214" i="6"/>
  <c r="O214" i="6" s="1"/>
  <c r="M306" i="6"/>
  <c r="M261" i="6"/>
  <c r="O261" i="6" s="1"/>
  <c r="M234" i="6"/>
  <c r="O234" i="6" s="1"/>
  <c r="M51" i="6"/>
  <c r="O51" i="6" s="1"/>
  <c r="M127" i="6"/>
  <c r="O127" i="6" s="1"/>
  <c r="M508" i="6"/>
  <c r="M206" i="6"/>
  <c r="O206" i="6" s="1"/>
  <c r="M600" i="6"/>
  <c r="M419" i="6"/>
  <c r="M253" i="6"/>
  <c r="M297" i="6"/>
  <c r="O297" i="6" s="1"/>
  <c r="M97" i="6"/>
  <c r="O97" i="6" s="1"/>
  <c r="M520" i="6"/>
  <c r="I519" i="6" s="1"/>
  <c r="J519" i="6" s="1"/>
  <c r="M339" i="6"/>
  <c r="O339" i="6" s="1"/>
  <c r="M312" i="6"/>
  <c r="M527" i="6"/>
  <c r="I526" i="6" s="1"/>
  <c r="J526" i="6" s="1"/>
  <c r="M379" i="6"/>
  <c r="M215" i="6"/>
  <c r="M298" i="6"/>
  <c r="O298" i="6" s="1"/>
  <c r="M288" i="6"/>
  <c r="O288" i="6" s="1"/>
  <c r="M117" i="6"/>
  <c r="M233" i="6"/>
  <c r="O233" i="6" s="1"/>
  <c r="M279" i="6"/>
  <c r="O279" i="6" s="1"/>
  <c r="M262" i="6"/>
  <c r="O262" i="6" s="1"/>
  <c r="M426" i="6"/>
  <c r="I425" i="6" s="1"/>
  <c r="J425" i="6" s="1"/>
  <c r="I628" i="6" s="1"/>
  <c r="J628" i="6" s="1"/>
  <c r="M628" i="6" s="1"/>
  <c r="M338" i="6"/>
  <c r="I334" i="6" s="1"/>
  <c r="J334" i="6" s="1"/>
  <c r="M254" i="6"/>
  <c r="M207" i="6"/>
  <c r="O207" i="6" s="1"/>
  <c r="M197" i="6"/>
  <c r="M149" i="6"/>
  <c r="O149" i="6" s="1"/>
  <c r="M168" i="6"/>
  <c r="O168" i="6" s="1"/>
  <c r="M158" i="6"/>
  <c r="O158" i="6" s="1"/>
  <c r="M138" i="6"/>
  <c r="O138" i="6" s="1"/>
  <c r="M109" i="6"/>
  <c r="O109" i="6" s="1"/>
  <c r="M390" i="6"/>
  <c r="O390" i="6" s="1"/>
  <c r="M360" i="6"/>
  <c r="I359" i="6" s="1"/>
  <c r="J359" i="6" s="1"/>
  <c r="I242" i="6" s="1"/>
  <c r="J242" i="6" s="1"/>
  <c r="M242" i="6" s="1"/>
  <c r="M399" i="6"/>
  <c r="O399" i="6" s="1"/>
  <c r="R301" i="6" s="1"/>
  <c r="M329" i="6"/>
  <c r="O329" i="6" s="1"/>
  <c r="M409" i="6"/>
  <c r="M319" i="6"/>
  <c r="O319" i="6" s="1"/>
  <c r="M581" i="6"/>
  <c r="O581" i="6" s="1"/>
  <c r="M620" i="6"/>
  <c r="O620" i="6" s="1"/>
  <c r="M128" i="6"/>
  <c r="O128" i="6" s="1"/>
  <c r="M592" i="6"/>
  <c r="O592" i="6" s="1"/>
  <c r="M98" i="6"/>
  <c r="M610" i="6"/>
  <c r="O610" i="6" s="1"/>
  <c r="M486" i="6"/>
  <c r="M469" i="6"/>
  <c r="O469" i="6" s="1"/>
  <c r="M443" i="6"/>
  <c r="M476" i="6"/>
  <c r="M451" i="6"/>
  <c r="O451" i="6" s="1"/>
  <c r="M494" i="6"/>
  <c r="O494" i="6" s="1"/>
  <c r="M460" i="6"/>
  <c r="M243" i="6"/>
  <c r="I501" i="6" l="1"/>
  <c r="J501" i="6" s="1"/>
  <c r="M501" i="6" s="1"/>
  <c r="I512" i="6"/>
  <c r="J512" i="6" s="1"/>
  <c r="M512" i="6" s="1"/>
  <c r="O512" i="6" s="1"/>
  <c r="I17" i="6"/>
  <c r="J17" i="6" s="1"/>
  <c r="M17" i="6" s="1"/>
  <c r="O17" i="6" s="1"/>
  <c r="I19" i="2"/>
  <c r="J19" i="2" s="1"/>
  <c r="M19" i="2" s="1"/>
  <c r="I449" i="6"/>
  <c r="J449" i="6" s="1"/>
  <c r="I627" i="6"/>
  <c r="J627" i="6" s="1"/>
  <c r="O628" i="6"/>
  <c r="R627" i="6" s="1"/>
  <c r="I389" i="6"/>
  <c r="J389" i="6" s="1"/>
  <c r="I474" i="6" s="1"/>
  <c r="J474" i="6" s="1"/>
  <c r="M474" i="6" s="1"/>
  <c r="I473" i="6" s="1"/>
  <c r="J473" i="6" s="1"/>
  <c r="I513" i="6"/>
  <c r="J513" i="6" s="1"/>
  <c r="M513" i="6" s="1"/>
  <c r="O513" i="6" s="1"/>
  <c r="I502" i="6"/>
  <c r="J502" i="6" s="1"/>
  <c r="M502" i="6" s="1"/>
  <c r="O502" i="6" s="1"/>
  <c r="O348" i="6"/>
  <c r="I224" i="6"/>
  <c r="J224" i="6" s="1"/>
  <c r="M224" i="6" s="1"/>
  <c r="O224" i="6" s="1"/>
  <c r="I50" i="6"/>
  <c r="J50" i="6" s="1"/>
  <c r="M50" i="6" s="1"/>
  <c r="O50" i="6" s="1"/>
  <c r="O242" i="6"/>
  <c r="O98" i="6"/>
  <c r="O460" i="6"/>
  <c r="I460" i="6"/>
  <c r="J460" i="6" s="1"/>
  <c r="O443" i="6"/>
  <c r="R443" i="6" s="1"/>
  <c r="I443" i="6"/>
  <c r="J443" i="6" s="1"/>
  <c r="I667" i="6" s="1"/>
  <c r="J667" i="6" s="1"/>
  <c r="M667" i="6" s="1"/>
  <c r="I27" i="6" s="1"/>
  <c r="J27" i="6" s="1"/>
  <c r="O197" i="6"/>
  <c r="O215" i="6"/>
  <c r="O486" i="6"/>
  <c r="I486" i="6"/>
  <c r="J486" i="6" s="1"/>
  <c r="O254" i="6"/>
  <c r="O419" i="6"/>
  <c r="R419" i="6" s="1"/>
  <c r="I419" i="6"/>
  <c r="J419" i="6" s="1"/>
  <c r="I615" i="6" s="1"/>
  <c r="J615" i="6" s="1"/>
  <c r="M615" i="6" s="1"/>
  <c r="M362" i="6"/>
  <c r="O362" i="6" s="1"/>
  <c r="M69" i="6"/>
  <c r="O69" i="6" s="1"/>
  <c r="M81" i="2"/>
  <c r="O81" i="2" s="1"/>
  <c r="N172" i="2"/>
  <c r="M172" i="2"/>
  <c r="M295" i="6"/>
  <c r="O312" i="6"/>
  <c r="O520" i="6"/>
  <c r="R519" i="6" s="1"/>
  <c r="O600" i="6"/>
  <c r="R599" i="6" s="1"/>
  <c r="O508" i="6"/>
  <c r="O398" i="6"/>
  <c r="M78" i="2"/>
  <c r="O485" i="6"/>
  <c r="R484" i="6" s="1"/>
  <c r="O493" i="6"/>
  <c r="R492" i="6" s="1"/>
  <c r="M214" i="2"/>
  <c r="N214" i="2"/>
  <c r="O243" i="6"/>
  <c r="O476" i="6"/>
  <c r="O409" i="6"/>
  <c r="M215" i="2"/>
  <c r="N215" i="2"/>
  <c r="O379" i="6"/>
  <c r="M247" i="2"/>
  <c r="N247" i="2"/>
  <c r="M227" i="2"/>
  <c r="N227" i="2"/>
  <c r="O253" i="6"/>
  <c r="R252" i="6" s="1"/>
  <c r="O501" i="6"/>
  <c r="O389" i="6"/>
  <c r="O418" i="6"/>
  <c r="R417" i="6" s="1"/>
  <c r="M296" i="6"/>
  <c r="O296" i="6" s="1"/>
  <c r="N161" i="2"/>
  <c r="M161" i="2"/>
  <c r="N204" i="2"/>
  <c r="M204" i="2"/>
  <c r="M591" i="6"/>
  <c r="O591" i="6" s="1"/>
  <c r="M619" i="6"/>
  <c r="O619" i="6" s="1"/>
  <c r="M580" i="6"/>
  <c r="O580" i="6" s="1"/>
  <c r="M126" i="6"/>
  <c r="O126" i="6" s="1"/>
  <c r="M96" i="6"/>
  <c r="O96" i="6" s="1"/>
  <c r="M609" i="6"/>
  <c r="O609" i="6" s="1"/>
  <c r="M146" i="2"/>
  <c r="O146" i="2" s="1"/>
  <c r="M113" i="2"/>
  <c r="O113" i="2" s="1"/>
  <c r="M48" i="6"/>
  <c r="M58" i="2"/>
  <c r="O360" i="6"/>
  <c r="N160" i="2"/>
  <c r="M160" i="2"/>
  <c r="M193" i="2"/>
  <c r="N193" i="2"/>
  <c r="O338" i="6"/>
  <c r="N136" i="2"/>
  <c r="M136" i="2"/>
  <c r="M267" i="2"/>
  <c r="N256" i="2"/>
  <c r="M256" i="2"/>
  <c r="O527" i="6"/>
  <c r="R526" i="6" s="1"/>
  <c r="O328" i="6"/>
  <c r="O468" i="6"/>
  <c r="R467" i="6" s="1"/>
  <c r="O269" i="6"/>
  <c r="N183" i="2"/>
  <c r="M183" i="2"/>
  <c r="N171" i="2"/>
  <c r="M171" i="2"/>
  <c r="M80" i="2"/>
  <c r="O80" i="2" s="1"/>
  <c r="M68" i="6"/>
  <c r="O68" i="6" s="1"/>
  <c r="N182" i="2"/>
  <c r="M182" i="2"/>
  <c r="N205" i="2"/>
  <c r="M205" i="2"/>
  <c r="O426" i="6"/>
  <c r="R425" i="6" s="1"/>
  <c r="O117" i="6"/>
  <c r="R116" i="6" s="1"/>
  <c r="N238" i="2"/>
  <c r="M238" i="2"/>
  <c r="O306" i="6"/>
  <c r="R305" i="6" s="1"/>
  <c r="O442" i="6"/>
  <c r="R441" i="6" s="1"/>
  <c r="O450" i="6"/>
  <c r="R449" i="6" s="1"/>
  <c r="N194" i="2"/>
  <c r="M194" i="2"/>
  <c r="M590" i="6"/>
  <c r="I588" i="6" s="1"/>
  <c r="J588" i="6" s="1"/>
  <c r="M618" i="6"/>
  <c r="M95" i="6"/>
  <c r="M608" i="6"/>
  <c r="I601" i="6" s="1"/>
  <c r="J601" i="6" s="1"/>
  <c r="M125" i="6"/>
  <c r="M579" i="6"/>
  <c r="M126" i="2"/>
  <c r="N126" i="2"/>
  <c r="N19" i="2" l="1"/>
  <c r="O161" i="2"/>
  <c r="O474" i="6"/>
  <c r="I295" i="6"/>
  <c r="J295" i="6" s="1"/>
  <c r="I278" i="6" s="1"/>
  <c r="J278" i="6" s="1"/>
  <c r="M278" i="6" s="1"/>
  <c r="O278" i="6" s="1"/>
  <c r="I178" i="2"/>
  <c r="J178" i="2" s="1"/>
  <c r="I217" i="2"/>
  <c r="J217" i="2" s="1"/>
  <c r="I88" i="2"/>
  <c r="J88" i="2" s="1"/>
  <c r="N88" i="2" s="1"/>
  <c r="I514" i="6"/>
  <c r="J514" i="6" s="1"/>
  <c r="M514" i="6" s="1"/>
  <c r="O514" i="6" s="1"/>
  <c r="R513" i="6" s="1"/>
  <c r="I503" i="6"/>
  <c r="J503" i="6" s="1"/>
  <c r="M503" i="6" s="1"/>
  <c r="O503" i="6" s="1"/>
  <c r="I74" i="6"/>
  <c r="J74" i="6" s="1"/>
  <c r="M74" i="6" s="1"/>
  <c r="O74" i="6" s="1"/>
  <c r="I43" i="6"/>
  <c r="J43" i="6" s="1"/>
  <c r="M43" i="6" s="1"/>
  <c r="O43" i="6" s="1"/>
  <c r="I50" i="2"/>
  <c r="J50" i="2" s="1"/>
  <c r="I565" i="6"/>
  <c r="J565" i="6" s="1"/>
  <c r="M565" i="6" s="1"/>
  <c r="I556" i="6"/>
  <c r="J556" i="6" s="1"/>
  <c r="M556" i="6" s="1"/>
  <c r="I198" i="6"/>
  <c r="J198" i="6" s="1"/>
  <c r="M198" i="6" s="1"/>
  <c r="O198" i="6" s="1"/>
  <c r="I229" i="2"/>
  <c r="J229" i="2" s="1"/>
  <c r="I70" i="2"/>
  <c r="J70" i="2" s="1"/>
  <c r="N70" i="2" s="1"/>
  <c r="I208" i="2"/>
  <c r="J208" i="2" s="1"/>
  <c r="I168" i="2"/>
  <c r="J168" i="2" s="1"/>
  <c r="I141" i="2"/>
  <c r="J141" i="2" s="1"/>
  <c r="I117" i="2"/>
  <c r="J117" i="2" s="1"/>
  <c r="I99" i="2"/>
  <c r="J99" i="2" s="1"/>
  <c r="I250" i="2"/>
  <c r="J250" i="2" s="1"/>
  <c r="I154" i="2"/>
  <c r="J154" i="2" s="1"/>
  <c r="I108" i="2"/>
  <c r="J108" i="2" s="1"/>
  <c r="I259" i="2"/>
  <c r="J259" i="2" s="1"/>
  <c r="I60" i="2"/>
  <c r="J60" i="2" s="1"/>
  <c r="I499" i="6"/>
  <c r="J499" i="6" s="1"/>
  <c r="O172" i="2"/>
  <c r="R164" i="2" s="1"/>
  <c r="O247" i="2"/>
  <c r="O194" i="2"/>
  <c r="O205" i="2"/>
  <c r="O215" i="2"/>
  <c r="I666" i="6"/>
  <c r="J666" i="6" s="1"/>
  <c r="O667" i="6"/>
  <c r="R666" i="6" s="1"/>
  <c r="I153" i="6"/>
  <c r="J153" i="6" s="1"/>
  <c r="M153" i="6" s="1"/>
  <c r="I187" i="6"/>
  <c r="J187" i="6" s="1"/>
  <c r="M187" i="6" s="1"/>
  <c r="O615" i="6"/>
  <c r="I614" i="6"/>
  <c r="J614" i="6" s="1"/>
  <c r="I217" i="6"/>
  <c r="J217" i="6" s="1"/>
  <c r="M217" i="6" s="1"/>
  <c r="I327" i="6"/>
  <c r="J327" i="6" s="1"/>
  <c r="M327" i="6" s="1"/>
  <c r="O327" i="6" s="1"/>
  <c r="I309" i="6"/>
  <c r="J309" i="6" s="1"/>
  <c r="M309" i="6" s="1"/>
  <c r="O309" i="6" s="1"/>
  <c r="I179" i="6"/>
  <c r="J179" i="6" s="1"/>
  <c r="M179" i="6" s="1"/>
  <c r="O179" i="6" s="1"/>
  <c r="I132" i="6"/>
  <c r="J132" i="6" s="1"/>
  <c r="M132" i="6" s="1"/>
  <c r="I91" i="6"/>
  <c r="J91" i="6" s="1"/>
  <c r="M91" i="6" s="1"/>
  <c r="I58" i="6"/>
  <c r="J58" i="6" s="1"/>
  <c r="M58" i="6" s="1"/>
  <c r="O58" i="6" s="1"/>
  <c r="I318" i="6"/>
  <c r="J318" i="6" s="1"/>
  <c r="M318" i="6" s="1"/>
  <c r="O318" i="6" s="1"/>
  <c r="I145" i="6"/>
  <c r="J145" i="6" s="1"/>
  <c r="M145" i="6" s="1"/>
  <c r="I121" i="6"/>
  <c r="J121" i="6" s="1"/>
  <c r="M121" i="6" s="1"/>
  <c r="I99" i="6"/>
  <c r="J99" i="6" s="1"/>
  <c r="M99" i="6" s="1"/>
  <c r="I83" i="6"/>
  <c r="J83" i="6" s="1"/>
  <c r="M83" i="6" s="1"/>
  <c r="O83" i="6" s="1"/>
  <c r="R388" i="6"/>
  <c r="R389" i="6"/>
  <c r="R268" i="6"/>
  <c r="R267" i="6"/>
  <c r="R500" i="6"/>
  <c r="R499" i="6"/>
  <c r="R486" i="6"/>
  <c r="R460" i="6"/>
  <c r="R349" i="6"/>
  <c r="R317" i="6"/>
  <c r="R378" i="6"/>
  <c r="R377" i="6"/>
  <c r="R475" i="6"/>
  <c r="R473" i="6"/>
  <c r="R507" i="6"/>
  <c r="R327" i="6"/>
  <c r="R337" i="6"/>
  <c r="R334" i="6"/>
  <c r="R311" i="6"/>
  <c r="Q169" i="2"/>
  <c r="R397" i="6"/>
  <c r="R395" i="6"/>
  <c r="O238" i="2"/>
  <c r="O182" i="2"/>
  <c r="O171" i="2"/>
  <c r="O125" i="6"/>
  <c r="O590" i="6"/>
  <c r="M69" i="2"/>
  <c r="O19" i="2"/>
  <c r="O183" i="2"/>
  <c r="O78" i="2"/>
  <c r="M277" i="6"/>
  <c r="I274" i="6" s="1"/>
  <c r="J274" i="6" s="1"/>
  <c r="M286" i="6"/>
  <c r="M57" i="6"/>
  <c r="M68" i="2"/>
  <c r="M459" i="6"/>
  <c r="M364" i="6"/>
  <c r="O364" i="6" s="1"/>
  <c r="M363" i="6"/>
  <c r="O58" i="2"/>
  <c r="Q276" i="2"/>
  <c r="O95" i="6"/>
  <c r="M244" i="6"/>
  <c r="I241" i="6" s="1"/>
  <c r="J241" i="6" s="1"/>
  <c r="I146" i="6" s="1"/>
  <c r="J146" i="6" s="1"/>
  <c r="M146" i="6" s="1"/>
  <c r="O146" i="6" s="1"/>
  <c r="M366" i="6"/>
  <c r="O366" i="6" s="1"/>
  <c r="M67" i="6"/>
  <c r="O67" i="6" s="1"/>
  <c r="M88" i="2"/>
  <c r="O256" i="2"/>
  <c r="O136" i="2"/>
  <c r="O160" i="2"/>
  <c r="Q158" i="2"/>
  <c r="O48" i="6"/>
  <c r="M157" i="6"/>
  <c r="M181" i="2"/>
  <c r="M177" i="6"/>
  <c r="M203" i="2"/>
  <c r="O608" i="6"/>
  <c r="O126" i="2"/>
  <c r="Q124" i="2"/>
  <c r="O579" i="6"/>
  <c r="O618" i="6"/>
  <c r="M147" i="6"/>
  <c r="M170" i="2"/>
  <c r="Q180" i="2"/>
  <c r="M167" i="6"/>
  <c r="M192" i="2"/>
  <c r="M365" i="6"/>
  <c r="O193" i="2"/>
  <c r="Q191" i="2"/>
  <c r="Q97" i="2"/>
  <c r="O204" i="2"/>
  <c r="Q202" i="2"/>
  <c r="M137" i="6"/>
  <c r="M159" i="2"/>
  <c r="O227" i="2"/>
  <c r="O214" i="2"/>
  <c r="R213" i="2" s="1"/>
  <c r="Q213" i="2"/>
  <c r="O295" i="6"/>
  <c r="R508" i="6" l="1"/>
  <c r="I178" i="6"/>
  <c r="J178" i="6" s="1"/>
  <c r="M178" i="6" s="1"/>
  <c r="O178" i="6" s="1"/>
  <c r="I317" i="6"/>
  <c r="J317" i="6" s="1"/>
  <c r="M317" i="6" s="1"/>
  <c r="I66" i="6"/>
  <c r="J66" i="6" s="1"/>
  <c r="M66" i="6" s="1"/>
  <c r="O66" i="6" s="1"/>
  <c r="I188" i="6"/>
  <c r="J188" i="6" s="1"/>
  <c r="M188" i="6" s="1"/>
  <c r="O188" i="6" s="1"/>
  <c r="N60" i="2"/>
  <c r="O60" i="2" s="1"/>
  <c r="M60" i="2"/>
  <c r="I561" i="6"/>
  <c r="J561" i="6" s="1"/>
  <c r="O565" i="6"/>
  <c r="R561" i="6" s="1"/>
  <c r="I177" i="6"/>
  <c r="J177" i="6" s="1"/>
  <c r="I84" i="6"/>
  <c r="J84" i="6" s="1"/>
  <c r="M84" i="6" s="1"/>
  <c r="O84" i="6" s="1"/>
  <c r="I75" i="6"/>
  <c r="J75" i="6" s="1"/>
  <c r="M75" i="6" s="1"/>
  <c r="I59" i="6"/>
  <c r="J59" i="6" s="1"/>
  <c r="I326" i="6"/>
  <c r="J326" i="6" s="1"/>
  <c r="M326" i="6" s="1"/>
  <c r="N259" i="2"/>
  <c r="O259" i="2" s="1"/>
  <c r="M259" i="2"/>
  <c r="M99" i="2"/>
  <c r="N99" i="2"/>
  <c r="M208" i="2"/>
  <c r="N208" i="2"/>
  <c r="O208" i="2" s="1"/>
  <c r="M229" i="2"/>
  <c r="N229" i="2"/>
  <c r="O229" i="2" s="1"/>
  <c r="R227" i="2" s="1"/>
  <c r="I508" i="6"/>
  <c r="J508" i="6" s="1"/>
  <c r="M250" i="2"/>
  <c r="N250" i="2"/>
  <c r="I100" i="6"/>
  <c r="J100" i="6" s="1"/>
  <c r="M100" i="6" s="1"/>
  <c r="O100" i="6" s="1"/>
  <c r="I92" i="6"/>
  <c r="J92" i="6" s="1"/>
  <c r="M92" i="6" s="1"/>
  <c r="O92" i="6" s="1"/>
  <c r="N108" i="2"/>
  <c r="M108" i="2"/>
  <c r="N117" i="2"/>
  <c r="M117" i="2"/>
  <c r="N50" i="2"/>
  <c r="O50" i="2" s="1"/>
  <c r="M50" i="2"/>
  <c r="N217" i="2"/>
  <c r="M217" i="2"/>
  <c r="N168" i="2"/>
  <c r="M168" i="2"/>
  <c r="I218" i="2"/>
  <c r="J218" i="2" s="1"/>
  <c r="I169" i="2"/>
  <c r="J169" i="2" s="1"/>
  <c r="I142" i="2"/>
  <c r="J142" i="2" s="1"/>
  <c r="I118" i="2"/>
  <c r="J118" i="2" s="1"/>
  <c r="I100" i="2"/>
  <c r="J100" i="2" s="1"/>
  <c r="I89" i="2"/>
  <c r="J89" i="2" s="1"/>
  <c r="I155" i="2"/>
  <c r="J155" i="2" s="1"/>
  <c r="I109" i="2"/>
  <c r="J109" i="2" s="1"/>
  <c r="I79" i="2"/>
  <c r="J79" i="2" s="1"/>
  <c r="I71" i="2"/>
  <c r="J71" i="2" s="1"/>
  <c r="I207" i="2"/>
  <c r="J207" i="2" s="1"/>
  <c r="I133" i="6"/>
  <c r="J133" i="6" s="1"/>
  <c r="M133" i="6" s="1"/>
  <c r="O133" i="6" s="1"/>
  <c r="I122" i="6"/>
  <c r="J122" i="6" s="1"/>
  <c r="M122" i="6" s="1"/>
  <c r="O122" i="6" s="1"/>
  <c r="I308" i="6"/>
  <c r="J308" i="6" s="1"/>
  <c r="M308" i="6" s="1"/>
  <c r="I230" i="2"/>
  <c r="J230" i="2" s="1"/>
  <c r="I20" i="2"/>
  <c r="J20" i="2" s="1"/>
  <c r="I127" i="2"/>
  <c r="J127" i="2" s="1"/>
  <c r="I77" i="6"/>
  <c r="J77" i="6" s="1"/>
  <c r="M77" i="6" s="1"/>
  <c r="O77" i="6" s="1"/>
  <c r="I91" i="2"/>
  <c r="J91" i="2" s="1"/>
  <c r="M91" i="2" s="1"/>
  <c r="O91" i="2" s="1"/>
  <c r="N154" i="2"/>
  <c r="M154" i="2"/>
  <c r="N141" i="2"/>
  <c r="O141" i="2" s="1"/>
  <c r="M141" i="2"/>
  <c r="O556" i="6"/>
  <c r="R553" i="6" s="1"/>
  <c r="I553" i="6"/>
  <c r="J553" i="6" s="1"/>
  <c r="M178" i="2"/>
  <c r="N178" i="2"/>
  <c r="O69" i="2"/>
  <c r="I65" i="6"/>
  <c r="J65" i="6" s="1"/>
  <c r="I316" i="6"/>
  <c r="J316" i="6" s="1"/>
  <c r="O317" i="6"/>
  <c r="R316" i="6" s="1"/>
  <c r="O121" i="6"/>
  <c r="O91" i="6"/>
  <c r="R90" i="6" s="1"/>
  <c r="I90" i="6"/>
  <c r="J90" i="6" s="1"/>
  <c r="I186" i="6"/>
  <c r="J186" i="6" s="1"/>
  <c r="O187" i="6"/>
  <c r="R186" i="6" s="1"/>
  <c r="I325" i="6"/>
  <c r="J325" i="6" s="1"/>
  <c r="O326" i="6"/>
  <c r="R325" i="6" s="1"/>
  <c r="I144" i="6"/>
  <c r="J144" i="6" s="1"/>
  <c r="O145" i="6"/>
  <c r="O132" i="6"/>
  <c r="O217" i="6"/>
  <c r="O153" i="6"/>
  <c r="I351" i="6"/>
  <c r="J351" i="6" s="1"/>
  <c r="M351" i="6" s="1"/>
  <c r="O351" i="6" s="1"/>
  <c r="I349" i="6"/>
  <c r="J349" i="6" s="1"/>
  <c r="M349" i="6" s="1"/>
  <c r="M145" i="2"/>
  <c r="M112" i="2"/>
  <c r="O308" i="6"/>
  <c r="R307" i="6" s="1"/>
  <c r="I307" i="6"/>
  <c r="J307" i="6" s="1"/>
  <c r="O99" i="6"/>
  <c r="R98" i="6" s="1"/>
  <c r="I98" i="6"/>
  <c r="J98" i="6" s="1"/>
  <c r="I108" i="6"/>
  <c r="J108" i="6" s="1"/>
  <c r="M108" i="6" s="1"/>
  <c r="O108" i="6" s="1"/>
  <c r="I350" i="6"/>
  <c r="J350" i="6" s="1"/>
  <c r="M350" i="6" s="1"/>
  <c r="O350" i="6" s="1"/>
  <c r="I199" i="6"/>
  <c r="J199" i="6" s="1"/>
  <c r="M199" i="6" s="1"/>
  <c r="I18" i="6"/>
  <c r="J18" i="6" s="1"/>
  <c r="M18" i="6" s="1"/>
  <c r="O18" i="6" s="1"/>
  <c r="O365" i="6"/>
  <c r="R365" i="6" s="1"/>
  <c r="I365" i="6"/>
  <c r="J365" i="6" s="1"/>
  <c r="I255" i="6" s="1"/>
  <c r="J255" i="6" s="1"/>
  <c r="M255" i="6" s="1"/>
  <c r="R589" i="6"/>
  <c r="R588" i="6"/>
  <c r="R617" i="6"/>
  <c r="R614" i="6"/>
  <c r="R607" i="6"/>
  <c r="R601" i="6"/>
  <c r="R124" i="6"/>
  <c r="R120" i="6"/>
  <c r="R94" i="6"/>
  <c r="R294" i="6"/>
  <c r="R295" i="6"/>
  <c r="R578" i="6"/>
  <c r="R576" i="6"/>
  <c r="R47" i="6"/>
  <c r="O159" i="2"/>
  <c r="O192" i="2"/>
  <c r="R191" i="2" s="1"/>
  <c r="O203" i="2"/>
  <c r="R202" i="2" s="1"/>
  <c r="O88" i="2"/>
  <c r="R276" i="2"/>
  <c r="M411" i="6"/>
  <c r="M82" i="6"/>
  <c r="I82" i="6" s="1"/>
  <c r="J82" i="6" s="1"/>
  <c r="M98" i="2"/>
  <c r="O137" i="6"/>
  <c r="O167" i="6"/>
  <c r="R166" i="6" s="1"/>
  <c r="O170" i="2"/>
  <c r="R169" i="2" s="1"/>
  <c r="M196" i="6"/>
  <c r="M213" i="6"/>
  <c r="M226" i="2"/>
  <c r="M245" i="2"/>
  <c r="M263" i="6"/>
  <c r="O177" i="6"/>
  <c r="R65" i="6"/>
  <c r="O286" i="6"/>
  <c r="M205" i="6"/>
  <c r="M236" i="2"/>
  <c r="O147" i="6"/>
  <c r="O181" i="2"/>
  <c r="R180" i="2" s="1"/>
  <c r="O75" i="6"/>
  <c r="O244" i="6"/>
  <c r="R241" i="6" s="1"/>
  <c r="M107" i="6"/>
  <c r="M125" i="2"/>
  <c r="O363" i="6"/>
  <c r="R359" i="6" s="1"/>
  <c r="O68" i="2"/>
  <c r="M70" i="2"/>
  <c r="O70" i="2" s="1"/>
  <c r="M59" i="6"/>
  <c r="O59" i="6" s="1"/>
  <c r="O277" i="6"/>
  <c r="M222" i="6"/>
  <c r="M255" i="2"/>
  <c r="M232" i="6"/>
  <c r="I229" i="6" s="1"/>
  <c r="J229" i="6" s="1"/>
  <c r="M266" i="2"/>
  <c r="O157" i="6"/>
  <c r="O459" i="6"/>
  <c r="O57" i="6"/>
  <c r="R77" i="2"/>
  <c r="I120" i="6" l="1"/>
  <c r="J120" i="6" s="1"/>
  <c r="I106" i="6"/>
  <c r="J106" i="6" s="1"/>
  <c r="M118" i="2"/>
  <c r="N118" i="2"/>
  <c r="O118" i="2" s="1"/>
  <c r="O108" i="2"/>
  <c r="I155" i="6"/>
  <c r="J155" i="6" s="1"/>
  <c r="M155" i="6" s="1"/>
  <c r="O155" i="6" s="1"/>
  <c r="I180" i="2"/>
  <c r="J180" i="2" s="1"/>
  <c r="M180" i="2" s="1"/>
  <c r="O180" i="2" s="1"/>
  <c r="I131" i="6"/>
  <c r="J131" i="6" s="1"/>
  <c r="O178" i="2"/>
  <c r="Q177" i="2"/>
  <c r="M230" i="2"/>
  <c r="N230" i="2"/>
  <c r="O230" i="2" s="1"/>
  <c r="N207" i="2"/>
  <c r="M207" i="2"/>
  <c r="M155" i="2"/>
  <c r="N155" i="2"/>
  <c r="O155" i="2" s="1"/>
  <c r="N142" i="2"/>
  <c r="O142" i="2" s="1"/>
  <c r="M142" i="2"/>
  <c r="I116" i="2"/>
  <c r="J121" i="2"/>
  <c r="J122" i="2" s="1"/>
  <c r="I40" i="6"/>
  <c r="J40" i="6" s="1"/>
  <c r="M40" i="6" s="1"/>
  <c r="O40" i="6" s="1"/>
  <c r="I47" i="2"/>
  <c r="J47" i="2" s="1"/>
  <c r="O154" i="2"/>
  <c r="Q153" i="2"/>
  <c r="M109" i="2"/>
  <c r="N109" i="2"/>
  <c r="O109" i="2" s="1"/>
  <c r="I171" i="6"/>
  <c r="J171" i="6" s="1"/>
  <c r="M171" i="6" s="1"/>
  <c r="O171" i="6" s="1"/>
  <c r="I198" i="2"/>
  <c r="J198" i="2" s="1"/>
  <c r="M198" i="2" s="1"/>
  <c r="I199" i="2"/>
  <c r="J199" i="2" s="1"/>
  <c r="M199" i="2" s="1"/>
  <c r="O199" i="2" s="1"/>
  <c r="I179" i="2"/>
  <c r="J179" i="2" s="1"/>
  <c r="M179" i="2" s="1"/>
  <c r="N89" i="2"/>
  <c r="Q87" i="2" s="1"/>
  <c r="M89" i="2"/>
  <c r="N169" i="2"/>
  <c r="O169" i="2" s="1"/>
  <c r="M169" i="2"/>
  <c r="J172" i="2" s="1"/>
  <c r="J173" i="2" s="1"/>
  <c r="O217" i="2"/>
  <c r="O117" i="2"/>
  <c r="R116" i="2" s="1"/>
  <c r="I76" i="6"/>
  <c r="J76" i="6" s="1"/>
  <c r="M76" i="6" s="1"/>
  <c r="O76" i="6" s="1"/>
  <c r="I90" i="2"/>
  <c r="J90" i="2" s="1"/>
  <c r="M90" i="2" s="1"/>
  <c r="O90" i="2" s="1"/>
  <c r="I249" i="2"/>
  <c r="J249" i="2" s="1"/>
  <c r="I258" i="2"/>
  <c r="J258" i="2" s="1"/>
  <c r="I59" i="2"/>
  <c r="I41" i="6"/>
  <c r="J41" i="6" s="1"/>
  <c r="M41" i="6" s="1"/>
  <c r="O41" i="6" s="1"/>
  <c r="I48" i="2"/>
  <c r="J48" i="2" s="1"/>
  <c r="M48" i="2" s="1"/>
  <c r="O48" i="2" s="1"/>
  <c r="J163" i="2"/>
  <c r="J164" i="2" s="1"/>
  <c r="I153" i="2"/>
  <c r="N127" i="2"/>
  <c r="O127" i="2" s="1"/>
  <c r="M127" i="2"/>
  <c r="N79" i="2"/>
  <c r="Q78" i="2" s="1"/>
  <c r="M79" i="2"/>
  <c r="M100" i="2"/>
  <c r="J103" i="2" s="1"/>
  <c r="J104" i="2" s="1"/>
  <c r="N100" i="2"/>
  <c r="O100" i="2" s="1"/>
  <c r="N218" i="2"/>
  <c r="O218" i="2" s="1"/>
  <c r="M218" i="2"/>
  <c r="I216" i="2" s="1"/>
  <c r="O168" i="2"/>
  <c r="R167" i="2" s="1"/>
  <c r="I167" i="2"/>
  <c r="O250" i="2"/>
  <c r="O99" i="2"/>
  <c r="I98" i="2"/>
  <c r="J112" i="2"/>
  <c r="J113" i="2" s="1"/>
  <c r="I107" i="2"/>
  <c r="R158" i="2"/>
  <c r="I216" i="6"/>
  <c r="J216" i="6" s="1"/>
  <c r="M216" i="6" s="1"/>
  <c r="O216" i="6" s="1"/>
  <c r="R215" i="6" s="1"/>
  <c r="I223" i="6"/>
  <c r="J223" i="6" s="1"/>
  <c r="M223" i="6" s="1"/>
  <c r="O223" i="6" s="1"/>
  <c r="I49" i="6"/>
  <c r="J49" i="6" s="1"/>
  <c r="M49" i="6" s="1"/>
  <c r="N137" i="2"/>
  <c r="M137" i="2"/>
  <c r="M246" i="2"/>
  <c r="N246" i="2"/>
  <c r="M114" i="2"/>
  <c r="N114" i="2"/>
  <c r="I154" i="6"/>
  <c r="J154" i="6" s="1"/>
  <c r="M154" i="6" s="1"/>
  <c r="I172" i="6"/>
  <c r="J172" i="6" s="1"/>
  <c r="M172" i="6" s="1"/>
  <c r="O172" i="6" s="1"/>
  <c r="M228" i="2"/>
  <c r="N228" i="2"/>
  <c r="N47" i="2"/>
  <c r="M47" i="2"/>
  <c r="O112" i="2"/>
  <c r="R107" i="2" s="1"/>
  <c r="O255" i="6"/>
  <c r="I254" i="6"/>
  <c r="J254" i="6" s="1"/>
  <c r="I49" i="2" s="1"/>
  <c r="J49" i="2" s="1"/>
  <c r="M147" i="2"/>
  <c r="N147" i="2"/>
  <c r="N257" i="2"/>
  <c r="M257" i="2"/>
  <c r="M20" i="2"/>
  <c r="N20" i="2"/>
  <c r="N268" i="2"/>
  <c r="M268" i="2"/>
  <c r="O199" i="6"/>
  <c r="I197" i="6"/>
  <c r="J197" i="6" s="1"/>
  <c r="O145" i="2"/>
  <c r="N115" i="2"/>
  <c r="O115" i="2" s="1"/>
  <c r="M115" i="2"/>
  <c r="N237" i="2"/>
  <c r="M237" i="2"/>
  <c r="M71" i="2"/>
  <c r="I69" i="2" s="1"/>
  <c r="N71" i="2"/>
  <c r="Q69" i="2" s="1"/>
  <c r="M61" i="2"/>
  <c r="N61" i="2"/>
  <c r="O349" i="6"/>
  <c r="R347" i="6" s="1"/>
  <c r="I347" i="6"/>
  <c r="J347" i="6" s="1"/>
  <c r="I18" i="2" s="1"/>
  <c r="J18" i="2" s="1"/>
  <c r="M148" i="2"/>
  <c r="N148" i="2"/>
  <c r="I57" i="6"/>
  <c r="J57" i="6" s="1"/>
  <c r="R276" i="6"/>
  <c r="R274" i="6"/>
  <c r="R458" i="6"/>
  <c r="R156" i="6"/>
  <c r="R74" i="6"/>
  <c r="R73" i="6"/>
  <c r="R176" i="6"/>
  <c r="R177" i="6"/>
  <c r="R57" i="6"/>
  <c r="R146" i="6"/>
  <c r="R144" i="6"/>
  <c r="R285" i="6"/>
  <c r="R283" i="6"/>
  <c r="R136" i="6"/>
  <c r="R131" i="6"/>
  <c r="R56" i="6"/>
  <c r="O255" i="2"/>
  <c r="O222" i="6"/>
  <c r="O107" i="6"/>
  <c r="R106" i="6" s="1"/>
  <c r="O226" i="2"/>
  <c r="O266" i="2"/>
  <c r="O213" i="6"/>
  <c r="R212" i="6" s="1"/>
  <c r="O98" i="2"/>
  <c r="O236" i="2"/>
  <c r="O263" i="6"/>
  <c r="O196" i="6"/>
  <c r="R195" i="6" s="1"/>
  <c r="O82" i="6"/>
  <c r="O411" i="6"/>
  <c r="R408" i="6" s="1"/>
  <c r="O232" i="6"/>
  <c r="O125" i="2"/>
  <c r="O205" i="6"/>
  <c r="O245" i="2"/>
  <c r="R153" i="2" l="1"/>
  <c r="Q116" i="2"/>
  <c r="Q125" i="2"/>
  <c r="J59" i="2"/>
  <c r="M59" i="2" s="1"/>
  <c r="G52" i="1"/>
  <c r="H52" i="1" s="1"/>
  <c r="I52" i="1" s="1"/>
  <c r="I51" i="1" s="1"/>
  <c r="I50" i="1" s="1"/>
  <c r="C13" i="8" s="1"/>
  <c r="R170" i="6"/>
  <c r="Q167" i="2"/>
  <c r="J69" i="2"/>
  <c r="G26" i="1"/>
  <c r="H26" i="1" s="1"/>
  <c r="I26" i="1" s="1"/>
  <c r="J167" i="2"/>
  <c r="G37" i="1"/>
  <c r="H37" i="1" s="1"/>
  <c r="I37" i="1" s="1"/>
  <c r="J98" i="2"/>
  <c r="G30" i="1"/>
  <c r="H30" i="1" s="1"/>
  <c r="I30" i="1" s="1"/>
  <c r="J116" i="2"/>
  <c r="G32" i="1"/>
  <c r="H32" i="1" s="1"/>
  <c r="I32" i="1" s="1"/>
  <c r="J107" i="2"/>
  <c r="G31" i="1"/>
  <c r="H31" i="1" s="1"/>
  <c r="I31" i="1" s="1"/>
  <c r="J216" i="2"/>
  <c r="G44" i="1"/>
  <c r="H44" i="1" s="1"/>
  <c r="I44" i="1" s="1"/>
  <c r="J153" i="2"/>
  <c r="G36" i="1"/>
  <c r="H36" i="1" s="1"/>
  <c r="I36" i="1" s="1"/>
  <c r="M249" i="2"/>
  <c r="N249" i="2"/>
  <c r="I206" i="2"/>
  <c r="J212" i="2"/>
  <c r="J213" i="2" s="1"/>
  <c r="R216" i="2"/>
  <c r="Q206" i="2"/>
  <c r="O207" i="2"/>
  <c r="R206" i="2" s="1"/>
  <c r="I267" i="2"/>
  <c r="J267" i="2" s="1"/>
  <c r="N267" i="2" s="1"/>
  <c r="O267" i="2" s="1"/>
  <c r="J275" i="2"/>
  <c r="J276" i="2" s="1"/>
  <c r="N49" i="2"/>
  <c r="Q46" i="2" s="1"/>
  <c r="M49" i="2"/>
  <c r="O79" i="2"/>
  <c r="R78" i="2" s="1"/>
  <c r="J83" i="2"/>
  <c r="J84" i="2" s="1"/>
  <c r="I78" i="2"/>
  <c r="N59" i="2"/>
  <c r="Q58" i="2" s="1"/>
  <c r="Q216" i="2"/>
  <c r="O89" i="2"/>
  <c r="R87" i="2" s="1"/>
  <c r="J93" i="2"/>
  <c r="J94" i="2" s="1"/>
  <c r="I87" i="2"/>
  <c r="I197" i="2"/>
  <c r="J201" i="2"/>
  <c r="J202" i="2" s="1"/>
  <c r="O198" i="2"/>
  <c r="R197" i="2" s="1"/>
  <c r="J224" i="2"/>
  <c r="J225" i="2" s="1"/>
  <c r="Q107" i="2"/>
  <c r="O179" i="2"/>
  <c r="J192" i="2"/>
  <c r="J193" i="2" s="1"/>
  <c r="I125" i="2"/>
  <c r="Q98" i="2"/>
  <c r="M258" i="2"/>
  <c r="J261" i="2" s="1"/>
  <c r="J262" i="2" s="1"/>
  <c r="N258" i="2"/>
  <c r="O258" i="2" s="1"/>
  <c r="J74" i="2"/>
  <c r="J75" i="2" s="1"/>
  <c r="I73" i="6"/>
  <c r="J73" i="6" s="1"/>
  <c r="I177" i="2"/>
  <c r="I228" i="2"/>
  <c r="J243" i="2"/>
  <c r="J244" i="2" s="1"/>
  <c r="J136" i="2"/>
  <c r="J137" i="2" s="1"/>
  <c r="I257" i="2"/>
  <c r="I140" i="2"/>
  <c r="J148" i="2"/>
  <c r="J149" i="2" s="1"/>
  <c r="Q267" i="2"/>
  <c r="O148" i="2"/>
  <c r="Q140" i="2"/>
  <c r="Q228" i="2"/>
  <c r="R124" i="2"/>
  <c r="I170" i="6"/>
  <c r="J170" i="6" s="1"/>
  <c r="I222" i="6"/>
  <c r="J222" i="6" s="1"/>
  <c r="O49" i="6"/>
  <c r="R48" i="6" s="1"/>
  <c r="I48" i="6"/>
  <c r="J48" i="6" s="1"/>
  <c r="I215" i="6"/>
  <c r="J215" i="6" s="1"/>
  <c r="Q57" i="2"/>
  <c r="O61" i="2"/>
  <c r="O257" i="2"/>
  <c r="Q254" i="2"/>
  <c r="O228" i="2"/>
  <c r="Q225" i="2"/>
  <c r="O237" i="2"/>
  <c r="Q235" i="2"/>
  <c r="O20" i="2"/>
  <c r="Q17" i="2"/>
  <c r="O147" i="2"/>
  <c r="Q144" i="2"/>
  <c r="O47" i="2"/>
  <c r="O154" i="6"/>
  <c r="R152" i="6" s="1"/>
  <c r="I152" i="6"/>
  <c r="J152" i="6" s="1"/>
  <c r="O137" i="2"/>
  <c r="R135" i="2" s="1"/>
  <c r="Q135" i="2"/>
  <c r="R235" i="2"/>
  <c r="R225" i="2"/>
  <c r="I16" i="6"/>
  <c r="J16" i="6" s="1"/>
  <c r="M16" i="6" s="1"/>
  <c r="M18" i="2"/>
  <c r="O71" i="2"/>
  <c r="R67" i="2" s="1"/>
  <c r="Q67" i="2"/>
  <c r="R144" i="2"/>
  <c r="O268" i="2"/>
  <c r="Q265" i="2"/>
  <c r="O114" i="2"/>
  <c r="R111" i="2" s="1"/>
  <c r="Q111" i="2"/>
  <c r="Q244" i="2"/>
  <c r="O246" i="2"/>
  <c r="R244" i="2"/>
  <c r="I42" i="6"/>
  <c r="J42" i="6" s="1"/>
  <c r="M42" i="6" s="1"/>
  <c r="R204" i="6"/>
  <c r="R197" i="6"/>
  <c r="R407" i="6"/>
  <c r="R81" i="6"/>
  <c r="R82" i="6"/>
  <c r="R231" i="6"/>
  <c r="R229" i="6"/>
  <c r="R221" i="6"/>
  <c r="R222" i="6"/>
  <c r="R260" i="6"/>
  <c r="R254" i="6"/>
  <c r="R98" i="2"/>
  <c r="R97" i="2"/>
  <c r="R140" i="2" l="1"/>
  <c r="J197" i="2"/>
  <c r="G41" i="1"/>
  <c r="H41" i="1" s="1"/>
  <c r="I41" i="1" s="1"/>
  <c r="J257" i="2"/>
  <c r="G49" i="1"/>
  <c r="H49" i="1" s="1"/>
  <c r="I49" i="1" s="1"/>
  <c r="J177" i="2"/>
  <c r="G39" i="1"/>
  <c r="H39" i="1" s="1"/>
  <c r="I39" i="1" s="1"/>
  <c r="I38" i="1" s="1"/>
  <c r="J78" i="2"/>
  <c r="G27" i="1"/>
  <c r="H27" i="1" s="1"/>
  <c r="I27" i="1" s="1"/>
  <c r="J140" i="2"/>
  <c r="G34" i="1"/>
  <c r="H34" i="1" s="1"/>
  <c r="I34" i="1" s="1"/>
  <c r="J87" i="2"/>
  <c r="G28" i="1"/>
  <c r="H28" i="1" s="1"/>
  <c r="I28" i="1" s="1"/>
  <c r="I35" i="1"/>
  <c r="J125" i="2"/>
  <c r="G33" i="1"/>
  <c r="H33" i="1" s="1"/>
  <c r="I33" i="1" s="1"/>
  <c r="J228" i="2"/>
  <c r="G45" i="1"/>
  <c r="H45" i="1" s="1"/>
  <c r="I45" i="1" s="1"/>
  <c r="J206" i="2"/>
  <c r="G43" i="1"/>
  <c r="H43" i="1" s="1"/>
  <c r="I43" i="1" s="1"/>
  <c r="Q257" i="2"/>
  <c r="O59" i="2"/>
  <c r="R58" i="2" s="1"/>
  <c r="J64" i="2"/>
  <c r="J65" i="2" s="1"/>
  <c r="I58" i="2"/>
  <c r="O49" i="2"/>
  <c r="J52" i="2"/>
  <c r="J53" i="2" s="1"/>
  <c r="O249" i="2"/>
  <c r="R248" i="2" s="1"/>
  <c r="Q248" i="2"/>
  <c r="I17" i="2"/>
  <c r="J26" i="2"/>
  <c r="J27" i="2" s="1"/>
  <c r="R46" i="2"/>
  <c r="I46" i="2"/>
  <c r="J252" i="2"/>
  <c r="J253" i="2" s="1"/>
  <c r="I248" i="2"/>
  <c r="R265" i="2"/>
  <c r="R177" i="2"/>
  <c r="R267" i="2"/>
  <c r="R57" i="2"/>
  <c r="R125" i="2"/>
  <c r="R228" i="2"/>
  <c r="R254" i="2"/>
  <c r="R257" i="2"/>
  <c r="R69" i="2"/>
  <c r="O42" i="6"/>
  <c r="R39" i="6" s="1"/>
  <c r="I39" i="6"/>
  <c r="J39" i="6" s="1"/>
  <c r="O18" i="2"/>
  <c r="R17" i="2" s="1"/>
  <c r="I15" i="6"/>
  <c r="J15" i="6" s="1"/>
  <c r="O16" i="6"/>
  <c r="R15" i="6" s="1"/>
  <c r="I29" i="1" l="1"/>
  <c r="I25" i="1"/>
  <c r="J17" i="2"/>
  <c r="G16" i="1"/>
  <c r="H16" i="1" s="1"/>
  <c r="I16" i="1" s="1"/>
  <c r="I15" i="1" s="1"/>
  <c r="I48" i="1"/>
  <c r="J46" i="2"/>
  <c r="G21" i="1"/>
  <c r="H21" i="1" s="1"/>
  <c r="I21" i="1" s="1"/>
  <c r="I20" i="1" s="1"/>
  <c r="J58" i="2"/>
  <c r="G24" i="1"/>
  <c r="H24" i="1" s="1"/>
  <c r="I24" i="1" s="1"/>
  <c r="I23" i="1" s="1"/>
  <c r="I42" i="1"/>
  <c r="I40" i="1"/>
  <c r="J248" i="2"/>
  <c r="G47" i="1"/>
  <c r="H47" i="1" s="1"/>
  <c r="I47" i="1" s="1"/>
  <c r="I46" i="1" l="1"/>
  <c r="I22" i="1" s="1"/>
  <c r="C11" i="8" s="1"/>
  <c r="I14" i="1"/>
  <c r="C9" i="8" s="1"/>
  <c r="F11" i="8" l="1"/>
  <c r="G11" i="8"/>
  <c r="E11" i="8"/>
  <c r="D11" i="8"/>
  <c r="H11" i="8"/>
  <c r="I58" i="1"/>
  <c r="J39" i="1" s="1"/>
  <c r="J38" i="1" s="1"/>
  <c r="I11" i="8" l="1"/>
  <c r="J27" i="1"/>
  <c r="J16" i="1"/>
  <c r="J15" i="1" s="1"/>
  <c r="J31" i="1"/>
  <c r="J37" i="1"/>
  <c r="J21" i="1"/>
  <c r="J20" i="1" s="1"/>
  <c r="J34" i="1"/>
  <c r="J18" i="1"/>
  <c r="J17" i="1" s="1"/>
  <c r="J32" i="1"/>
  <c r="J19" i="1"/>
  <c r="J36" i="1"/>
  <c r="J30" i="1"/>
  <c r="J28" i="1"/>
  <c r="I60" i="1"/>
  <c r="J24" i="1"/>
  <c r="J23" i="1" s="1"/>
  <c r="J33" i="1"/>
  <c r="J26" i="1"/>
  <c r="C18" i="8"/>
  <c r="E9" i="8"/>
  <c r="H9" i="8"/>
  <c r="G9" i="8"/>
  <c r="F9" i="8"/>
  <c r="D9" i="8"/>
  <c r="J52" i="1"/>
  <c r="J51" i="1" s="1"/>
  <c r="J50" i="1" s="1"/>
  <c r="J44" i="1"/>
  <c r="J41" i="1"/>
  <c r="J40" i="1" s="1"/>
  <c r="J43" i="1"/>
  <c r="J45" i="1"/>
  <c r="J49" i="1"/>
  <c r="J48" i="1" s="1"/>
  <c r="J47" i="1"/>
  <c r="J46" i="1" s="1"/>
  <c r="J14" i="1" l="1"/>
  <c r="J29" i="1"/>
  <c r="H14" i="8"/>
  <c r="H13" i="8" s="1"/>
  <c r="D14" i="8"/>
  <c r="E14" i="8"/>
  <c r="E13" i="8" s="1"/>
  <c r="G14" i="8"/>
  <c r="G13" i="8" s="1"/>
  <c r="F14" i="8"/>
  <c r="F13" i="8" s="1"/>
  <c r="F16" i="8" s="1"/>
  <c r="J35" i="1"/>
  <c r="J25" i="1"/>
  <c r="I9" i="8"/>
  <c r="J42" i="1"/>
  <c r="J22" i="1" l="1"/>
  <c r="G16" i="8"/>
  <c r="G17" i="8" s="1"/>
  <c r="F17" i="8"/>
  <c r="E16" i="8"/>
  <c r="E17" i="8" s="1"/>
  <c r="H16" i="8"/>
  <c r="H17" i="8" s="1"/>
  <c r="I14" i="8"/>
  <c r="D13" i="8"/>
  <c r="I13" i="8" l="1"/>
  <c r="D16" i="8"/>
  <c r="D18" i="8" l="1"/>
  <c r="D17" i="8"/>
  <c r="I16" i="8"/>
  <c r="I17" i="8" s="1"/>
  <c r="D19" i="8" l="1"/>
  <c r="E18" i="8"/>
  <c r="E19" i="8" l="1"/>
  <c r="F18" i="8"/>
  <c r="G18" i="8" l="1"/>
  <c r="F19" i="8"/>
  <c r="G19" i="8" l="1"/>
  <c r="H18" i="8"/>
  <c r="I18" i="8" l="1"/>
  <c r="H19" i="8"/>
  <c r="I19" i="8" s="1"/>
</calcChain>
</file>

<file path=xl/sharedStrings.xml><?xml version="1.0" encoding="utf-8"?>
<sst xmlns="http://schemas.openxmlformats.org/spreadsheetml/2006/main" count="3932" uniqueCount="784">
  <si>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</si>
  <si>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</si>
  <si>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</si>
  <si>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</si>
  <si>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</si>
  <si>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</si>
  <si>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</si>
  <si>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</si>
  <si>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PLACA DE OBRA</t>
  </si>
  <si>
    <t xml:space="preserve"> 74209/001 </t>
  </si>
  <si>
    <t>SINAPI</t>
  </si>
  <si>
    <t>PLACA DE OBRA EM CHAPA DE ACO GALVANIZADO</t>
  </si>
  <si>
    <t>m²</t>
  </si>
  <si>
    <t>Próprio</t>
  </si>
  <si>
    <t>UN</t>
  </si>
  <si>
    <t>MES</t>
  </si>
  <si>
    <t>M</t>
  </si>
  <si>
    <t>m</t>
  </si>
  <si>
    <t>m³</t>
  </si>
  <si>
    <t>Tipo</t>
  </si>
  <si>
    <t>Composição</t>
  </si>
  <si>
    <t>CANT - CANTEIRO DE OBRAS</t>
  </si>
  <si>
    <t>Composição Auxiliar</t>
  </si>
  <si>
    <t xml:space="preserve"> 94962 </t>
  </si>
  <si>
    <t>FUES - FUNDAÇÕES E ESTRUTURAS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</si>
  <si>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</si>
  <si>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</si>
  <si>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</si>
  <si>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</si>
  <si>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</si>
  <si>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</si>
  <si>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Insumo</t>
  </si>
  <si>
    <t xml:space="preserve"> 00004813 </t>
  </si>
  <si>
    <t>Material</t>
  </si>
  <si>
    <t xml:space="preserve"> 00004491 </t>
  </si>
  <si>
    <t xml:space="preserve"> 00005075 </t>
  </si>
  <si>
    <t>PREGO DE ACO POLIDO COM CABECA 18 X 30 (2 3/4 X 10)</t>
  </si>
  <si>
    <t>KG</t>
  </si>
  <si>
    <t xml:space="preserve"> 00004417 </t>
  </si>
  <si>
    <t>Valor com BDI =&gt;</t>
  </si>
  <si>
    <t>Quant. =&gt;</t>
  </si>
  <si>
    <t>Preço Total =&gt;</t>
  </si>
  <si>
    <t>Taxas</t>
  </si>
  <si>
    <t>Equipamento</t>
  </si>
  <si>
    <t>CHOR - CUSTOS HORÁRIOS DE MÁQUINAS E EQUIPAMENTOS</t>
  </si>
  <si>
    <t>CHP</t>
  </si>
  <si>
    <t>CHI</t>
  </si>
  <si>
    <t>AJUDANTE DE CARPINTEIRO COM ENCARGOS COMPLEMENTARES</t>
  </si>
  <si>
    <t xml:space="preserve"> 00011964 </t>
  </si>
  <si>
    <t>PARAFUSO DE ACO TIPO CHUMBADOR PARABOLT, DIAMETRO 3/8", COMPRIMENTO 75 MM</t>
  </si>
  <si>
    <t>Serviços</t>
  </si>
  <si>
    <t xml:space="preserve"> 88309 </t>
  </si>
  <si>
    <t>PEDREIRO COM ENCARGOS COMPLEMENTARES</t>
  </si>
  <si>
    <t xml:space="preserve"> 88310 </t>
  </si>
  <si>
    <t>PINTOR COM ENCARGOS COMPLEMENTARES</t>
  </si>
  <si>
    <t>L</t>
  </si>
  <si>
    <t>Mão de Obra</t>
  </si>
  <si>
    <t>PINTOR</t>
  </si>
  <si>
    <t>PEDREIRO</t>
  </si>
  <si>
    <t>Outros</t>
  </si>
  <si>
    <t>CIMENTO PORTLAND COMPOSTO CP II-32</t>
  </si>
  <si>
    <t>EPI - FAMILIA SERVENTE - HORISTA (ENCARGOS COMPLEMENTARES - COLETADO CAIXA)</t>
  </si>
  <si>
    <t>AREIA MEDIA - POSTO JAZIDA/FORNECEDOR (RETIRADO NA JAZIDA, SEM TRANSPORTE)</t>
  </si>
  <si>
    <t>EPI - FAMILIA PINTOR - HORISTA (ENCARGOS COMPLEMENTARES - COLETADO CAIXA)</t>
  </si>
  <si>
    <t>FERRAMENTAS - FAMILIA PINTOR - HORISTA (ENCARGOS COMPLEMENTARES - COLETADO CAIXA)</t>
  </si>
  <si>
    <t>EPI - FAMILIA PEDREIRO - HORISTA (ENCARGOS COMPLEMENTARES - COLETADO CAIXA)</t>
  </si>
  <si>
    <t>FERRAMENTAS - FAMILIA SERVENTE - HORISTA (ENCARGOS COMPLEMENTARES - COLETADO CAIXA)</t>
  </si>
  <si>
    <t>CARPINTEIRO DE FORMAS</t>
  </si>
  <si>
    <t>FERRAMENTAS - FAMILIA PEDREIRO - HORISTA (ENCARGOS COMPLEMENTARES - COLETADO CAIXA)</t>
  </si>
  <si>
    <t>EPI - FAMILIA CARPINTEIRO DE FORMAS - HORISTA (ENCARGOS COMPLEMENTARES - COLETADO CAIXA)</t>
  </si>
  <si>
    <t>FERRAMENTAS - FAMILIA CARPINTEIRO DE FORMAS - HORISTA (ENCARGOS COMPLEMENTARES - COLETADO CAIXA)</t>
  </si>
  <si>
    <t>EPI - FAMILIA OPERADOR ESCAVADEIRA - HORISTA (ENCARGOS COMPLEMENTARES - COLETADO CAIXA)</t>
  </si>
  <si>
    <t>ENERGIA ELETRICA ATE 2000 KWH INDUSTRIAL, SEM DEMANDA</t>
  </si>
  <si>
    <t>KW/H</t>
  </si>
  <si>
    <t>BETONEIRA CAPACIDADE NOMINAL 400 L, CAPACIDADE DE MISTURA  280 L, MOTOR ELETRICO TRIFASICO 220/380 V POTENCIA 2 CV, SEM CARREGADOR</t>
  </si>
  <si>
    <t>FERRAMENTAS - FAMILIA OPERADOR ESCAVADEIRA - HORISTA (ENCARGOS COMPLEMENTARES - COLETADO CAIXA)</t>
  </si>
  <si>
    <t>CURSO DE CAPACITAÇÃO PARA SERVENTE (ENCARGOS COMPLEMENTARES) - HORISTA</t>
  </si>
  <si>
    <t>CURSO DE CAPACITAÇÃO PARA PINTOR (ENCARGOS COMPLEMENTARES) - HORISTA</t>
  </si>
  <si>
    <t>CURSO DE CAPACITAÇÃO PARA PEDREIRO (ENCARGOS COMPLEMENTARES) - HORISTA</t>
  </si>
  <si>
    <t>CURSO DE CAPACITAÇÃO PARA OPERADOR DE BETONEIRA ESTACIONÁRIA/MISTURADOR (ENCARGOS COMPLEMENTARES) - HORISTA</t>
  </si>
  <si>
    <t>OPERADOR DE BETONEIRA ESTACIONÁRIA/MISTURADOR COM ENCARGOS COMPLEMENTARES</t>
  </si>
  <si>
    <t>CURSO DE CAPACITAÇÃO PARA CARPINTEIRO DE FÔRMAS (ENCARGOS COMPLEMENTARES) - HORISTA</t>
  </si>
  <si>
    <t>CURSO DE CAPACITAÇÃO PARA AJUDANTE DE CARPINTEIRO (ENCARGOS COMPLEMENTARES) - HORISTA</t>
  </si>
  <si>
    <t>MO</t>
  </si>
  <si>
    <t>MAT</t>
  </si>
  <si>
    <t>TOT</t>
  </si>
  <si>
    <t>CONT</t>
  </si>
  <si>
    <t>COD</t>
  </si>
  <si>
    <t>MO T</t>
  </si>
  <si>
    <t>MAT T</t>
  </si>
  <si>
    <t xml:space="preserve"> 00037370 </t>
  </si>
  <si>
    <t xml:space="preserve"> 00043483 </t>
  </si>
  <si>
    <t xml:space="preserve"> 00037372 </t>
  </si>
  <si>
    <t xml:space="preserve"> 00043459 </t>
  </si>
  <si>
    <t xml:space="preserve"> 00037373 </t>
  </si>
  <si>
    <t xml:space="preserve"> 00037371 </t>
  </si>
  <si>
    <t xml:space="preserve"> 88377 </t>
  </si>
  <si>
    <t xml:space="preserve"> 00000370 </t>
  </si>
  <si>
    <t xml:space="preserve"> 00001379 </t>
  </si>
  <si>
    <t xml:space="preserve"> 88830 </t>
  </si>
  <si>
    <t xml:space="preserve"> 88831 </t>
  </si>
  <si>
    <t xml:space="preserve"> 00043489 </t>
  </si>
  <si>
    <t xml:space="preserve"> 00043465 </t>
  </si>
  <si>
    <t xml:space="preserve"> 88826 </t>
  </si>
  <si>
    <t xml:space="preserve"> 88827 </t>
  </si>
  <si>
    <t xml:space="preserve"> 88828 </t>
  </si>
  <si>
    <t xml:space="preserve"> 88829 </t>
  </si>
  <si>
    <t xml:space="preserve"> 00010535 </t>
  </si>
  <si>
    <t xml:space="preserve"> 00002705 </t>
  </si>
  <si>
    <t xml:space="preserve"> 95330 </t>
  </si>
  <si>
    <t xml:space="preserve"> 00001213 </t>
  </si>
  <si>
    <t xml:space="preserve"> 00004721 </t>
  </si>
  <si>
    <t xml:space="preserve"> 95389 </t>
  </si>
  <si>
    <t xml:space="preserve"> 00037666 </t>
  </si>
  <si>
    <t xml:space="preserve"> 95371 </t>
  </si>
  <si>
    <t xml:space="preserve"> 00004750 </t>
  </si>
  <si>
    <t xml:space="preserve"> 95372 </t>
  </si>
  <si>
    <t xml:space="preserve"> 00004783 </t>
  </si>
  <si>
    <t xml:space="preserve"> 95378 </t>
  </si>
  <si>
    <t xml:space="preserve"> 00006111 </t>
  </si>
  <si>
    <t xml:space="preserve"> 00043488 </t>
  </si>
  <si>
    <t xml:space="preserve"> 00043464 </t>
  </si>
  <si>
    <t xml:space="preserve"> 00043490 </t>
  </si>
  <si>
    <t xml:space="preserve"> 00043466 </t>
  </si>
  <si>
    <t xml:space="preserve"> 00043491 </t>
  </si>
  <si>
    <t xml:space="preserve"> 00043467 </t>
  </si>
  <si>
    <t>BDI</t>
  </si>
  <si>
    <t>PROCURADORIA GERAL DA REPÚBLICA</t>
  </si>
  <si>
    <t>SECRETARIA DE ENGENHARIA E ARQUITETURA</t>
  </si>
  <si>
    <t>TAXAS: LEIS SOCIAIS E BDI</t>
  </si>
  <si>
    <t>LEIS SOCIAIS (LS) - SINAPI</t>
  </si>
  <si>
    <t>HORISTA (taxa já inclusa nos valores unitários de mão-de-obra)</t>
  </si>
  <si>
    <t>LS</t>
  </si>
  <si>
    <t>MENSALISTA (taxa já inclusa nos valores unitários de mão-de-obra)</t>
  </si>
  <si>
    <t>BONIFICAÇÃO DE DESPESAS INDIRETAS - BDI</t>
  </si>
  <si>
    <t>RISCOS</t>
  </si>
  <si>
    <t>R</t>
  </si>
  <si>
    <t>SEGUROS</t>
  </si>
  <si>
    <t>S</t>
  </si>
  <si>
    <t>GARANTIAS</t>
  </si>
  <si>
    <t>G</t>
  </si>
  <si>
    <t>DESPESAS FINANCEIRAS</t>
  </si>
  <si>
    <t>DF</t>
  </si>
  <si>
    <t>ADMINISTRAÇÃO CENTRAL</t>
  </si>
  <si>
    <t>AC</t>
  </si>
  <si>
    <t>LUCRO</t>
  </si>
  <si>
    <t>COFINS</t>
  </si>
  <si>
    <t>I</t>
  </si>
  <si>
    <t>PIS</t>
  </si>
  <si>
    <t>CPRB</t>
  </si>
  <si>
    <t>ISS</t>
  </si>
  <si>
    <t>Fórmula:</t>
  </si>
  <si>
    <r>
      <t xml:space="preserve">     BDI =  { [ </t>
    </r>
    <r>
      <rPr>
        <u/>
        <sz val="10"/>
        <rFont val="Arial"/>
        <family val="2"/>
      </rPr>
      <t>(1+(R+S+G+AC)).(1+DF).(1+L)</t>
    </r>
    <r>
      <rPr>
        <sz val="10"/>
        <color indexed="8"/>
        <rFont val="Arial"/>
        <family val="2"/>
      </rPr>
      <t xml:space="preserve"> ] -1 } x 100                                                                                                                                           1 - ( I )</t>
    </r>
  </si>
  <si>
    <t>ITEM</t>
  </si>
  <si>
    <t>DESCRIÇÃO</t>
  </si>
  <si>
    <t>VALOR</t>
  </si>
  <si>
    <t>mês 1</t>
  </si>
  <si>
    <t>mês 2</t>
  </si>
  <si>
    <t>mês 3</t>
  </si>
  <si>
    <t>mês 4</t>
  </si>
  <si>
    <t>mês 5</t>
  </si>
  <si>
    <t>TOTAL</t>
  </si>
  <si>
    <t>1</t>
  </si>
  <si>
    <t>2</t>
  </si>
  <si>
    <t>PARCIAL</t>
  </si>
  <si>
    <t>ACUMULADO</t>
  </si>
  <si>
    <t>CÓDIGO</t>
  </si>
  <si>
    <t>BANCO</t>
  </si>
  <si>
    <t>UND</t>
  </si>
  <si>
    <t>QUANT.</t>
  </si>
  <si>
    <t>VALOR UNIT</t>
  </si>
  <si>
    <t>VALOR UNIT COM BDI</t>
  </si>
  <si>
    <t>PESO (%)</t>
  </si>
  <si>
    <t>BENEFÍCIOS E DESPESAS INDIRETAS: BDI</t>
  </si>
  <si>
    <t>INSTRUÇÕES PARA O PREENCHIMENTO DA PLANILHA</t>
  </si>
  <si>
    <t xml:space="preserve">A PLANILHA NÃO DEVE SER DESBLOQUEADA. </t>
  </si>
  <si>
    <t>PARA O LICITANTE COMPOR A SUA PROPOSTA BASTA APLICAR O PERCENTUAL DE DESCONTO NO FINAL DA PLANILHA SINTÉTICA (CÉLULA VERDE). DESSA FORMA TODAS AS ABAS DA PLANILHA SÃO ATUALIZADAS AUTOMATICAMENTE.</t>
  </si>
  <si>
    <t>PLANILHA ANALÍTICA</t>
  </si>
  <si>
    <t>TIPO</t>
  </si>
  <si>
    <t>PESO</t>
  </si>
  <si>
    <t>TOTAL GERAL ORIGINAL (c/ BDI):</t>
  </si>
  <si>
    <t>DESCONTO LINEAR DA EMPRESA (%)</t>
  </si>
  <si>
    <t>PROPOSTA DA EMPRESA (c/ BDI):</t>
  </si>
  <si>
    <t>DESCONTO EFETIVO DA PROPOSTA (%)*:</t>
  </si>
  <si>
    <t>CRONOGRAMA</t>
  </si>
  <si>
    <t>PLANILHA ANALÍTICA - COMPOSIÇÕES AUXILIARES (SEM BDI)</t>
  </si>
  <si>
    <t>LISTAGEM DE INSUMOS (VALOR UNITÁRIO SEM BDI)</t>
  </si>
  <si>
    <t>PLANILHA SINTÉTICA (COM BDI)</t>
  </si>
  <si>
    <t>VALOR UNIT SEM BDI</t>
  </si>
  <si>
    <t>TOTAL                  COM BDI</t>
  </si>
  <si>
    <t>VALOR  UNITÁRIO SEM BDI (EMPRESA)</t>
  </si>
  <si>
    <t>TOTAL SEM BDI</t>
  </si>
  <si>
    <t>VALOR  UNITÁRIO SEM BDI (ORIGINAL)</t>
  </si>
  <si>
    <t>ENCARGOS SOCIAIS SOBRE A MÃO DE OBRA</t>
  </si>
  <si>
    <t>COM DESONERAÇÃO</t>
  </si>
  <si>
    <t>SEM DESONERAÇÃO</t>
  </si>
  <si>
    <t>HORISTA        %</t>
  </si>
  <si>
    <t>MENSALISTA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</si>
  <si>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</si>
  <si>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</si>
  <si>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</si>
  <si>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</si>
  <si>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</si>
  <si>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</si>
  <si>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</si>
  <si>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</si>
  <si>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</si>
  <si>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</si>
  <si>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SEBREA</t>
  </si>
  <si>
    <t>A6</t>
  </si>
  <si>
    <t>Slário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</si>
  <si>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</si>
  <si>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</si>
  <si>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</si>
  <si>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</si>
  <si>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</si>
  <si>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</si>
  <si>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</si>
  <si>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</si>
  <si>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</si>
  <si>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</si>
  <si>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</si>
  <si>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</si>
  <si>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</si>
  <si>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</si>
  <si>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Auxílio-Enfermidade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</si>
  <si>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</si>
  <si>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</si>
  <si>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</si>
  <si>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</si>
  <si>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</si>
  <si>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</si>
  <si>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</si>
  <si>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</si>
  <si>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</si>
  <si>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</si>
  <si>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</si>
  <si>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</si>
  <si>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</si>
  <si>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</si>
  <si>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</si>
  <si>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</si>
  <si>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</si>
  <si>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</si>
  <si>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</si>
  <si>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</si>
  <si>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</si>
  <si>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</si>
  <si>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</si>
  <si>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</si>
  <si>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</si>
  <si>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</si>
  <si>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</si>
  <si>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</si>
  <si>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</si>
  <si>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</si>
  <si>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</si>
  <si>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</si>
  <si>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</si>
  <si>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</si>
  <si>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8</t>
  </si>
  <si>
    <t xml:space="preserve"> 00002436 </t>
  </si>
  <si>
    <t>ELETRICISTA</t>
  </si>
  <si>
    <t xml:space="preserve"> 00002696 </t>
  </si>
  <si>
    <t>ENCANADOR OU BOMBEIRO HIDRAULICO</t>
  </si>
  <si>
    <t xml:space="preserve"> 00000247 </t>
  </si>
  <si>
    <t>AJUDANTE DE ELETRICISTA</t>
  </si>
  <si>
    <t xml:space="preserve"> 00000246 </t>
  </si>
  <si>
    <t>AUXILIAR DE ENCANADOR OU BOMBEIRO HIDRAULICO</t>
  </si>
  <si>
    <t>ORSE</t>
  </si>
  <si>
    <t>un</t>
  </si>
  <si>
    <t xml:space="preserve"> 00001014 </t>
  </si>
  <si>
    <t>CABO DE COBRE, FLEXIVEL, CLASSE 4 OU 5, ISOLACAO EM PVC/A, ANTICHAMA BWF-B, 1 CONDUTOR, 450/750 V, SECAO NOMINAL 2,5 MM2</t>
  </si>
  <si>
    <t>CPOS</t>
  </si>
  <si>
    <t xml:space="preserve"> 00043484 </t>
  </si>
  <si>
    <t>EPI - FAMILIA ELETRICISTA - HORISTA (ENCARGOS COMPLEMENTARES - COLETADO CAIXA)</t>
  </si>
  <si>
    <t xml:space="preserve"> 00043485 </t>
  </si>
  <si>
    <t>EPI - FAMILIA ENCANADOR - HORISTA (ENCARGOS COMPLEMENTARES - COLETADO CAIXA)</t>
  </si>
  <si>
    <t xml:space="preserve"> 00043460 </t>
  </si>
  <si>
    <t>FERRAMENTAS - FAMILIA ELETRICISTA - HORISTA (ENCARGOS COMPLEMENTARES - COLETADO CAIXA)</t>
  </si>
  <si>
    <t xml:space="preserve"> 9783 </t>
  </si>
  <si>
    <t xml:space="preserve"> 00043461 </t>
  </si>
  <si>
    <t>FERRAMENTAS - FAMILIA ENCANADOR - HORISTA (ENCARGOS COMPLEMENTARES - COLETADO CAIXA)</t>
  </si>
  <si>
    <t xml:space="preserve"> 00004221 </t>
  </si>
  <si>
    <t>OLEO DIESEL COMBUSTIVEL COMUM</t>
  </si>
  <si>
    <t xml:space="preserve"> 00021127 </t>
  </si>
  <si>
    <t>FITA ISOLANTE ADESIVA ANTICHAMA, USO ATE 750 V, EM ROLO DE 19 MM X 5 M</t>
  </si>
  <si>
    <t xml:space="preserve"> 00039142 </t>
  </si>
  <si>
    <t>ABRACADEIRA EM ACO PARA AMARRACAO DE ELETRODUTOS, TIPO U SIMPLES, COM 2"</t>
  </si>
  <si>
    <t xml:space="preserve"> 00011950 </t>
  </si>
  <si>
    <t>BUCHA DE NYLON SEM ABA S6, COM PARAFUSO DE 4,20 X 40 MM EM ACO ZINCADO COM ROSCA SOBERBA, CABECA CHATA E FENDA PHILLIPS</t>
  </si>
  <si>
    <t xml:space="preserve"> 00004342 </t>
  </si>
  <si>
    <t>PORCA ZINCADA, SEXTAVADA, DIAMETRO 3/8"</t>
  </si>
  <si>
    <t xml:space="preserve"> 11072 </t>
  </si>
  <si>
    <t xml:space="preserve"> 00043486 </t>
  </si>
  <si>
    <t>EPI - FAMILIA ENGENHEIRO CIVIL - HORISTA (ENCARGOS COMPLEMENTARES - COLETADO CAIXA)</t>
  </si>
  <si>
    <t xml:space="preserve"> 00043462 </t>
  </si>
  <si>
    <t>FERRAMENTAS - FAMILIA ENGENHEIRO CIVIL - HORISTA (ENCARGOS COMPLEMENTARES - COLETADO CAIXA)</t>
  </si>
  <si>
    <t xml:space="preserve"> 88247 </t>
  </si>
  <si>
    <t>AUXILIAR DE ELETRICISTA COM ENCARGOS COMPLEMENTARES</t>
  </si>
  <si>
    <t xml:space="preserve"> 95316 </t>
  </si>
  <si>
    <t>CURSO DE CAPACITAÇÃO PARA AUXILIAR DE ELETRICISTA (ENCARGOS COMPLEMENTARES) - HORISTA</t>
  </si>
  <si>
    <t xml:space="preserve"> 88248 </t>
  </si>
  <si>
    <t>AUXILIAR DE ENCANADOR OU BOMBEIRO HIDRÁULICO COM ENCARGOS COMPLEMENTARES</t>
  </si>
  <si>
    <t xml:space="preserve"> 95317 </t>
  </si>
  <si>
    <t>CURSO DE CAPACITAÇÃO PARA AUXILIAR DE ENCANADOR OU BOMBEIRO HIDRÁULICO (ENCARGOS COMPLEMENTARES) - HORISTA</t>
  </si>
  <si>
    <t>INHI - INSTALAÇÕES HIDROS SANITÁRIAS</t>
  </si>
  <si>
    <t xml:space="preserve"> 88267 </t>
  </si>
  <si>
    <t>ENCANADOR OU BOMBEIRO HIDRÁULICO COM ENCARGOS COMPLEMENTARES</t>
  </si>
  <si>
    <t xml:space="preserve"> 95332 </t>
  </si>
  <si>
    <t>CURSO DE CAPACITAÇÃO PARA ELETRICISTA (ENCARGOS COMPLEMENTARES) - HORISTA</t>
  </si>
  <si>
    <t xml:space="preserve"> 95335 </t>
  </si>
  <si>
    <t>CURSO DE CAPACITAÇÃO PARA ENCANADOR OU BOMBEIRO HIDRÁULICO (ENCARGOS COMPLEMENTARES) - HORISTA</t>
  </si>
  <si>
    <t xml:space="preserve"> 88264 </t>
  </si>
  <si>
    <t>ELETRICISTA COM ENCARGOS COMPLEMENTARES</t>
  </si>
  <si>
    <t>INEL - INSTALAÇÃO ELÉTRICA/ELETRIFICAÇÃO E ILUMINAÇÃO EXTERNA</t>
  </si>
  <si>
    <t>INES - INSTALAÇÕES ESPECIAIS</t>
  </si>
  <si>
    <t>LEIS SOCIAIS NÃO DESONERADAS - REFERÊNCIA HORISTA SINAPI: LS</t>
  </si>
  <si>
    <t>OS CABEÇALHOS ENCONTRAM-SE DESBLOQUEADOS PARA PERMITIR A TROCA DO LOGOTIPO PELO LOGOTIPO DA EMPRESA LICITANTE.</t>
  </si>
  <si>
    <r>
      <rPr>
        <b/>
        <sz val="10"/>
        <color rgb="FF0070C0"/>
        <rFont val="Arial"/>
        <family val="2"/>
      </rPr>
      <t>(ALTERAÇÃO OPCIONAL - ABA "ANALÍTICA")</t>
    </r>
    <r>
      <rPr>
        <sz val="10"/>
        <rFont val="Arial"/>
        <family val="2"/>
      </rPr>
      <t xml:space="preserve"> NA PLANILHA ANALÍTICA O LICITANTE PODE ALTERAR OS COEFICIENTES DE TODOS OS INSUMOS QUE FAZEM PARTE DAS COMPOSIÇÕES. (COLUNA "H")</t>
    </r>
  </si>
  <si>
    <r>
      <rPr>
        <b/>
        <sz val="10"/>
        <color rgb="FF0070C0"/>
        <rFont val="Arial"/>
        <family val="2"/>
      </rPr>
      <t>(ALTERAÇÃO OPCIONAL - ABA "ANALÍTICA AUXILIARES")</t>
    </r>
    <r>
      <rPr>
        <sz val="10"/>
        <rFont val="Arial"/>
        <family val="2"/>
      </rPr>
      <t xml:space="preserve"> NA PLANILHA ANALÍTICA AUXILIAR O LICITANTE PODE ALTERAR OS COEFICIENTES DE TODOS OS INSUMOS QUE FAZEM PARTE DAS COMPOSIÇÕES. (COLUNA "H")</t>
    </r>
  </si>
  <si>
    <r>
      <rPr>
        <b/>
        <sz val="10"/>
        <color rgb="FF0070C0"/>
        <rFont val="Arial"/>
        <family val="2"/>
      </rPr>
      <t>(ALTERAÇÃO OPCIONAL - ABA "INSUMOS")</t>
    </r>
    <r>
      <rPr>
        <sz val="10"/>
        <rFont val="Arial"/>
        <family val="2"/>
      </rPr>
      <t xml:space="preserve"> OS VALORES UNITÁRIOS DOS INSUMOS PODEM SER ALTERADOS DE FORMA INDIVIDUAL NA ABA "INSUMOS". OS VALORES UNITÁRIOS DOS INSUMOS PODEM SER INSERIDOS SOBRE AS FÓRMULAS PRESENTES NAS CÉLULAS VERDES.  (COLUNA "H")</t>
    </r>
  </si>
  <si>
    <r>
      <rPr>
        <b/>
        <sz val="10"/>
        <color rgb="FF0070C0"/>
        <rFont val="Arial"/>
        <family val="2"/>
      </rPr>
      <t>(ALTERAÇÃO OPCIONAL - ABA "CRONOGRAMA")</t>
    </r>
    <r>
      <rPr>
        <sz val="10"/>
        <rFont val="Arial"/>
        <family val="2"/>
      </rPr>
      <t xml:space="preserve"> OS PERCENTUAIS DO CRONOGRAMA PODEM SER ALTERADOS NAS CÉLULAS VERDES.</t>
    </r>
  </si>
  <si>
    <r>
      <rPr>
        <b/>
        <sz val="10"/>
        <color rgb="FF0070C0"/>
        <rFont val="Arial"/>
        <family val="2"/>
      </rPr>
      <t>(ALTERAÇÃO OPCIONAL - ABA "LEIS SOCIAIS")</t>
    </r>
    <r>
      <rPr>
        <sz val="10"/>
        <rFont val="Arial"/>
        <family val="2"/>
      </rPr>
      <t xml:space="preserve"> CONFORME O REGIME DE TRIBUTAÇÃO DA EMPRESA OS PERCENTUAIS DAS LEIS SOCIAIS PODEM SER ALTERADOS NAS CÉLULAS VERDES. (ESSA ALTERAÇÃO NÃO MUDA O VALOR DA PROPOSTA)</t>
    </r>
  </si>
  <si>
    <r>
      <rPr>
        <b/>
        <sz val="10"/>
        <color rgb="FF0070C0"/>
        <rFont val="Arial"/>
        <family val="2"/>
      </rPr>
      <t>(ALTERAÇÃO OPCIONAL - ABA "BDI")</t>
    </r>
    <r>
      <rPr>
        <sz val="10"/>
        <rFont val="Arial"/>
        <family val="2"/>
      </rPr>
      <t xml:space="preserve"> OS PERCENTUAIS DO BDI PODEM SER ALTERADOS NAS CÉLULAS VERDES. (COLUNA "D")</t>
    </r>
  </si>
  <si>
    <t xml:space="preserve"> 00039258 </t>
  </si>
  <si>
    <t>CABO MULTIPOLAR DE COBRE, FLEXIVEL, CLASSE 4 OU 5, ISOLACAO EM HEPR, COBERTURA EM PVC-ST2, ANTICHAMA BWF-B, 0,6/1 KV, 3 CONDUTORES DE 2,5 MM2</t>
  </si>
  <si>
    <t xml:space="preserve"> 00037761 </t>
  </si>
  <si>
    <t>CAMINHAO TOCO, PESO BRUTO TOTAL 16000 KG, CARGA UTIL MAXIMA DE 10685 KG, DISTANCIA ENTRE EIXOS 4,8M, POTENCIA 189 CV (INCLUI CABINE E CHASSI, NAO INCLUI CARROCERIA)</t>
  </si>
  <si>
    <t>CANTEIRO DE OBRA</t>
  </si>
  <si>
    <t>* O DESCONTO EFETIVO LEVA EM CONSIDERAÇÃO O DESCONTO LINEAR, AS ALTERAÇÕES MANUAIS NOS PREÇOS DOS INSUMOS E AS ALTERAÇÕES NOS COEFICIENTES DE PRODUTIVIDADE APRESENTADOS NAS PLANILHAS ANALÍTICAS.</t>
  </si>
  <si>
    <t>SERVENTE DE OBRAS</t>
  </si>
  <si>
    <t>ALIMENTACAO - HORISTA (COLETADO CAIXA)</t>
  </si>
  <si>
    <t xml:space="preserve"> 00010776 </t>
  </si>
  <si>
    <t>LOCACAO DE CONTAINER 2,30  X  6,00 M, ALT. 2,50 M, PARA ESCRITORIO, SEM DIVISORIAS INTERNAS E SEM SANITARIO</t>
  </si>
  <si>
    <t>TRANSPORTE - HORISTA (COLETADO CAIXA)</t>
  </si>
  <si>
    <t>EXAMES - HORISTA (COLETADO CAIXA)</t>
  </si>
  <si>
    <t xml:space="preserve"> 0,55</t>
  </si>
  <si>
    <t xml:space="preserve"> 1,01</t>
  </si>
  <si>
    <t xml:space="preserve"> 0,95</t>
  </si>
  <si>
    <t>PLACA DE OBRA (PARA CONSTRUCAO CIVIL) EM CHAPA GALVANIZADA *N. 22*, ADESIVADA, DE *2,0 X 1,125* M</t>
  </si>
  <si>
    <t xml:space="preserve"> 225,00</t>
  </si>
  <si>
    <t xml:space="preserve"> INSUMO-PRELIM-001 </t>
  </si>
  <si>
    <t>MOBILIZAÇÃO E DESMOBILIZAÇÃO DE CONTAINER</t>
  </si>
  <si>
    <t xml:space="preserve"> 0,58</t>
  </si>
  <si>
    <t xml:space="preserve"> 0,41</t>
  </si>
  <si>
    <t xml:space="preserve"> 1,05</t>
  </si>
  <si>
    <t xml:space="preserve"> 0,63</t>
  </si>
  <si>
    <t xml:space="preserve"> 0,38</t>
  </si>
  <si>
    <t xml:space="preserve"> 0,91</t>
  </si>
  <si>
    <t xml:space="preserve"> 0,80</t>
  </si>
  <si>
    <t xml:space="preserve"> 0,62</t>
  </si>
  <si>
    <t xml:space="preserve"> 0,28</t>
  </si>
  <si>
    <t>SEGURO - HORISTA (COLETADO CAIXA)</t>
  </si>
  <si>
    <t xml:space="preserve"> 0,01</t>
  </si>
  <si>
    <t xml:space="preserve"> 1,33</t>
  </si>
  <si>
    <t xml:space="preserve"> 1,27</t>
  </si>
  <si>
    <t xml:space="preserve"> 0,12</t>
  </si>
  <si>
    <t xml:space="preserve"> 0,23</t>
  </si>
  <si>
    <t>BETONEIRA CAPACIDADE NOMINAL DE 400 L, CAPACIDADE DE MISTURA 280 L, MOTOR ELÉTRICO TRIFÁSICO POTÊNCIA DE 2 CV, SEM CARREGADOR - CHP DIURNO. AF_10/2014</t>
  </si>
  <si>
    <t>BETONEIRA CAPACIDADE NOMINAL DE 400 L, CAPACIDADE DE MISTURA 280 L, MOTOR ELÉTRICO TRIFÁSICO POTÊNCIA DE 2 CV, SEM CARREGADOR - CHI DIURNO. AF_10/2014</t>
  </si>
  <si>
    <t>BETONEIRA CAPACIDADE NOMINAL DE 400 L, CAPACIDADE DE MISTURA 280 L, MOTOR ELÉTRICO TRIFÁSICO POTÊNCIA DE 2 CV, SEM CARREGADOR - DEPRECIAÇÃO. AF_10/2014</t>
  </si>
  <si>
    <t>BETONEIRA CAPACIDADE NOMINAL DE 400 L, CAPACIDADE DE MISTURA 280 L, MOTOR ELÉTRICO TRIFÁSICO POTÊNCIA DE 2 CV, SEM CARREGADOR - JUROS. AF_10/2014</t>
  </si>
  <si>
    <t>BETONEIRA CAPACIDADE NOMINAL DE 400 L, CAPACIDADE DE MISTURA 280 L, MOTOR ELÉTRICO TRIFÁSICO POTÊNCIA DE 2 CV, SEM CARREGADOR - MATERIAIS NA OPERAÇÃO. AF_10/2014</t>
  </si>
  <si>
    <t>BETONEIRA CAPACIDADE NOMINAL DE 400 L, CAPACIDADE DE MISTURA 280 L, MOTOR ELÉTRICO TRIFÁSICO POTÊNCIA DE 2 CV, SEM CARREGADOR - MANUTENÇÃO. AF_10/2014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</si>
  <si>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</si>
  <si>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</si>
  <si>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S-PRE-LOCA-30132 </t>
  </si>
  <si>
    <t xml:space="preserve"> 00042408 </t>
  </si>
  <si>
    <t>LONA PLASTICA EXTRA FORTE PRETA, E = 200 MICRA</t>
  </si>
  <si>
    <t>Composições Auxiliares</t>
  </si>
  <si>
    <t>OBRA: SFCR DA ESMPU - 2021</t>
  </si>
  <si>
    <t xml:space="preserve"> I-ELE-SFCR-PGR-16 </t>
  </si>
  <si>
    <t>KIT GERADOR FOTOVOLTAICO (INVERSOR, STRING-BOX, MÓDULOS, CABOS, CONECTORES, ESTRUTURA DE FIXAÇÃO E MONITORAMENTO) 40,80 kWp PARA MONTAGEM EM TELHADO METÁLICO TRAPEZOIDAL</t>
  </si>
  <si>
    <t>Equipamento para Aquisição Permanente</t>
  </si>
  <si>
    <t>UNIDADE</t>
  </si>
  <si>
    <t xml:space="preserve"> 2,0000000</t>
  </si>
  <si>
    <t xml:space="preserve"> 118.975,61</t>
  </si>
  <si>
    <t xml:space="preserve"> 00034783 </t>
  </si>
  <si>
    <t>ENGENHEIRO ELETRICISTA</t>
  </si>
  <si>
    <t xml:space="preserve"> 242,5542400</t>
  </si>
  <si>
    <t xml:space="preserve"> 106,56</t>
  </si>
  <si>
    <t xml:space="preserve"> 663,8805587</t>
  </si>
  <si>
    <t xml:space="preserve"> 17,52</t>
  </si>
  <si>
    <t xml:space="preserve"> 679,1255687</t>
  </si>
  <si>
    <t xml:space="preserve"> 12,30</t>
  </si>
  <si>
    <t xml:space="preserve"> P.04.000.042127 </t>
  </si>
  <si>
    <t>Eletroduto galvanizado por imersão a quente, DN = 2´ - NBR5598</t>
  </si>
  <si>
    <t xml:space="preserve"> 117,6000000</t>
  </si>
  <si>
    <t xml:space="preserve"> 48,33</t>
  </si>
  <si>
    <t xml:space="preserve"> 1.386,9813904</t>
  </si>
  <si>
    <t xml:space="preserve"> 2,62</t>
  </si>
  <si>
    <t xml:space="preserve"> 00034729 </t>
  </si>
  <si>
    <t>DISJUNTOR TERMICO E MAGNETICO AJUSTAVEIS, TRIPOLAR DE 100 ATE 250A, CAPACIDADE DE INTERRUPCAO DE 35KA</t>
  </si>
  <si>
    <t xml:space="preserve"> 1.296,87</t>
  </si>
  <si>
    <t xml:space="preserve"> 1,36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</si>
  <si>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</si>
  <si>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</si>
  <si>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36,5400000</t>
  </si>
  <si>
    <t xml:space="preserve"> 50,35</t>
  </si>
  <si>
    <t xml:space="preserve"> 00000982 </t>
  </si>
  <si>
    <t>CABO DE COBRE, FLEXIVEL, CLASSE 4 OU 5, ISOLACAO EM PVC/A, ANTICHAMA BWF-B, 1 CONDUTOR, 450/750 V, SECAO NOMINAL 6 MM2</t>
  </si>
  <si>
    <t xml:space="preserve"> 288,0000000</t>
  </si>
  <si>
    <t xml:space="preserve"> 5,89</t>
  </si>
  <si>
    <t xml:space="preserve"> P.04.000.062055 </t>
  </si>
  <si>
    <t>Eletrocalha lisa galvanizada a fogo, 100x100mm</t>
  </si>
  <si>
    <t xml:space="preserve"> 22,1000000</t>
  </si>
  <si>
    <t xml:space="preserve"> 76,61</t>
  </si>
  <si>
    <t xml:space="preserve"> 00012043 </t>
  </si>
  <si>
    <t>QUADRO DE DISTRIBUICAO COM BARRAMENTO TRIFASICO, DE EMBUTIR, EM CHAPA DE ACO GALVANIZADO, PARA 30 DISJUNTORES DIN, 225 A</t>
  </si>
  <si>
    <t xml:space="preserve"> 1,0000000</t>
  </si>
  <si>
    <t xml:space="preserve"> 1.550,87</t>
  </si>
  <si>
    <t xml:space="preserve"> 00000857 </t>
  </si>
  <si>
    <t>CABO DE COBRE NU 16 MM2 MEIO-DURO</t>
  </si>
  <si>
    <t xml:space="preserve"> 122,8500000</t>
  </si>
  <si>
    <t xml:space="preserve"> 12,60</t>
  </si>
  <si>
    <t xml:space="preserve"> 296,0160000</t>
  </si>
  <si>
    <t xml:space="preserve"> 4,56</t>
  </si>
  <si>
    <t xml:space="preserve"> 00000996 </t>
  </si>
  <si>
    <t>CABO DE COBRE, FLEXIVEL, CLASSE 4 OU 5, ISOLACAO EM PVC/A, ANTICHAMA BWF-B, COBERTURA PVC-ST1, ANTICHAMA BWF-B, 1 CONDUTOR, 0,6/1 KV, SECAO NOMINAL 25 MM2</t>
  </si>
  <si>
    <t xml:space="preserve"> 49,7350000</t>
  </si>
  <si>
    <t xml:space="preserve"> 25,63</t>
  </si>
  <si>
    <t xml:space="preserve"> 00001627 </t>
  </si>
  <si>
    <t>CONTATOR TRIPOLAR, CORRENTE DE *65* A, TENSAO NOMINAL DE *500* V, CATEGORIA AC-2 E AC-3</t>
  </si>
  <si>
    <t xml:space="preserve"> 615,93</t>
  </si>
  <si>
    <t xml:space="preserve"> 1.315,7078000</t>
  </si>
  <si>
    <t xml:space="preserve"> 115,0240000</t>
  </si>
  <si>
    <t xml:space="preserve"> 9,53</t>
  </si>
  <si>
    <t xml:space="preserve"> 00039772 </t>
  </si>
  <si>
    <t>CAIXA DE PASSAGEM METALICA DE SOBREPOR COM TAMPA PARAFUSADA, DIMENSOES 30 X 30 X 10 CM</t>
  </si>
  <si>
    <t xml:space="preserve"> 13,0000000</t>
  </si>
  <si>
    <t xml:space="preserve"> 76,66</t>
  </si>
  <si>
    <t xml:space="preserve"> 457,03</t>
  </si>
  <si>
    <t xml:space="preserve"> 1.641,7813904</t>
  </si>
  <si>
    <t xml:space="preserve"> 420,20</t>
  </si>
  <si>
    <t xml:space="preserve"> 00001573 </t>
  </si>
  <si>
    <t>TERMINAL A COMPRESSAO EM COBRE ESTANHADO PARA CABO 6 MM2, 1 FURO E 1 COMPRESSAO, PARA PARAFUSO DE FIXACAO M6</t>
  </si>
  <si>
    <t xml:space="preserve"> 480,0000000</t>
  </si>
  <si>
    <t xml:space="preserve"> 1,37</t>
  </si>
  <si>
    <t xml:space="preserve"> 00000156 </t>
  </si>
  <si>
    <t>ADESIVO ESTRUTURAL A BASE DE RESINA EPOXI, BICOMPONENTE, FLUIDO</t>
  </si>
  <si>
    <t xml:space="preserve"> 9,9000000</t>
  </si>
  <si>
    <t xml:space="preserve"> 49,21</t>
  </si>
  <si>
    <t xml:space="preserve"> 00039471 </t>
  </si>
  <si>
    <t>DISPOSITIVO DPS CLASSE II, 1 POLO, TENSAO MAXIMA DE 275 V, CORRENTE MAXIMA DE *45* KA (TIPO AC)</t>
  </si>
  <si>
    <t xml:space="preserve"> 4,0000000</t>
  </si>
  <si>
    <t xml:space="preserve"> 114,66</t>
  </si>
  <si>
    <t xml:space="preserve"> 00002358 </t>
  </si>
  <si>
    <t>DESENHISTA PROJETISTA</t>
  </si>
  <si>
    <t xml:space="preserve"> 18,0648000</t>
  </si>
  <si>
    <t xml:space="preserve"> 24,91</t>
  </si>
  <si>
    <t xml:space="preserve"> 00004096 </t>
  </si>
  <si>
    <t>MOTORISTA OPERADOR DE CAMINHAO COM MUNCK</t>
  </si>
  <si>
    <t xml:space="preserve"> 32,3744000</t>
  </si>
  <si>
    <t xml:space="preserve"> 13,29</t>
  </si>
  <si>
    <t xml:space="preserve"> 0,0014290</t>
  </si>
  <si>
    <t xml:space="preserve"> 268.885,81</t>
  </si>
  <si>
    <t xml:space="preserve"> 1,6000000</t>
  </si>
  <si>
    <t xml:space="preserve"> 12428 </t>
  </si>
  <si>
    <t>Parafuso em aço inox, cabeça sextavada 1/4" x 1 1/4"</t>
  </si>
  <si>
    <t xml:space="preserve"> 12431 </t>
  </si>
  <si>
    <t>Arruela lisa em aço inox 1/4"</t>
  </si>
  <si>
    <t xml:space="preserve"> 960,0000000</t>
  </si>
  <si>
    <t xml:space="preserve"> 0,30</t>
  </si>
  <si>
    <t xml:space="preserve"> I-ELE-SFCR-PGR-19 </t>
  </si>
  <si>
    <t>ART DE EXECUÇÃO</t>
  </si>
  <si>
    <t xml:space="preserve"> 233,94</t>
  </si>
  <si>
    <t xml:space="preserve"> 00002438 </t>
  </si>
  <si>
    <t>ELETROTECNICO</t>
  </si>
  <si>
    <t xml:space="preserve"> 7,6650000</t>
  </si>
  <si>
    <t xml:space="preserve"> 25,83</t>
  </si>
  <si>
    <t xml:space="preserve"> 12421 </t>
  </si>
  <si>
    <t>Placa indicativa de sentido em pvc, dim.: 20 x 30 cm</t>
  </si>
  <si>
    <t>Un</t>
  </si>
  <si>
    <t xml:space="preserve"> 7,0000000</t>
  </si>
  <si>
    <t xml:space="preserve"> 27,90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</si>
  <si>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</si>
  <si>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</si>
  <si>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10,2700000</t>
  </si>
  <si>
    <t xml:space="preserve"> 16,83</t>
  </si>
  <si>
    <t xml:space="preserve"> 00034714 </t>
  </si>
  <si>
    <t>DISJUNTOR TIPO DIN/IEC, TRIPOLAR 63 A</t>
  </si>
  <si>
    <t xml:space="preserve"> 83,54</t>
  </si>
  <si>
    <t>Barra roscada zincada ø 3/8"</t>
  </si>
  <si>
    <t xml:space="preserve"> 21,6000000</t>
  </si>
  <si>
    <t xml:space="preserve"> 7,70</t>
  </si>
  <si>
    <t xml:space="preserve"> 90,0000000</t>
  </si>
  <si>
    <t xml:space="preserve"> 1,53</t>
  </si>
  <si>
    <t xml:space="preserve"> 00034771 </t>
  </si>
  <si>
    <t>MEIO BLOCO DE VEDACAO DE CONCRETO 19 X 19 X 19 CM (CLASSE C - NBR 6136)</t>
  </si>
  <si>
    <t xml:space="preserve"> 66,0000000</t>
  </si>
  <si>
    <t xml:space="preserve"> 2,08</t>
  </si>
  <si>
    <t xml:space="preserve"> 7,6041024</t>
  </si>
  <si>
    <t xml:space="preserve"> 236,8000000</t>
  </si>
  <si>
    <t xml:space="preserve"> 11,3174441</t>
  </si>
  <si>
    <t xml:space="preserve"> 11,43</t>
  </si>
  <si>
    <t xml:space="preserve"> 12430 </t>
  </si>
  <si>
    <t>Arruela de pressão em aço inox 1/4"</t>
  </si>
  <si>
    <t xml:space="preserve"> 0,25</t>
  </si>
  <si>
    <t xml:space="preserve"> 00001612 </t>
  </si>
  <si>
    <t>CONTATOR TRIPOLAR, CORRENTE DE 9 A, TENSAO NOMINAL DE *500* V, CATEGORIA AC-2 E AC-3</t>
  </si>
  <si>
    <t xml:space="preserve"> 117,48</t>
  </si>
  <si>
    <t xml:space="preserve"> 11051 </t>
  </si>
  <si>
    <t>Porca em aço inox sextavada 1/4"</t>
  </si>
  <si>
    <t xml:space="preserve"> 00010712 </t>
  </si>
  <si>
    <t>GUINDAUTO HIDRAULICO, CAPACIDADE MAXIMA DE CARGA 3300 KG, MOMENTO MAXIMO DE CARGA 5,8 TM , ALCANCE MAXIMO HORIZONTAL  7,60 M, PARA MONTAGEM SOBRE CHASSI DE CAMINHAO PBT MINIMO 8000 KG (INCLUI MONTAGEM, NAO INCLUI CAMINHAO)</t>
  </si>
  <si>
    <t xml:space="preserve"> 75.359,37</t>
  </si>
  <si>
    <t xml:space="preserve"> 00004257 </t>
  </si>
  <si>
    <t>OPERADOR DE MARTELETE OU MARTELETEIRO</t>
  </si>
  <si>
    <t xml:space="preserve"> 7,5522972</t>
  </si>
  <si>
    <t xml:space="preserve"> 13,67</t>
  </si>
  <si>
    <t xml:space="preserve"> 0,06</t>
  </si>
  <si>
    <t xml:space="preserve"> 5,4815400</t>
  </si>
  <si>
    <t xml:space="preserve"> 00039028 </t>
  </si>
  <si>
    <t>PERFILADO PERFURADO SIMPLES 38 X 38 MM, CHAPA 22</t>
  </si>
  <si>
    <t xml:space="preserve"> 9,6000000</t>
  </si>
  <si>
    <t xml:space="preserve"> 9,84</t>
  </si>
  <si>
    <t xml:space="preserve"> I-ELE-SFCR-PGR-18 </t>
  </si>
  <si>
    <t>ART DE PROJETO</t>
  </si>
  <si>
    <t xml:space="preserve"> 88,78</t>
  </si>
  <si>
    <t xml:space="preserve"> 3,9086140</t>
  </si>
  <si>
    <t xml:space="preserve"> 00039145 </t>
  </si>
  <si>
    <t>ABRACADEIRA EM ACO PARA AMARRACAO DE ELETRODUTOS, TIPO U SIMPLES, COM 4"</t>
  </si>
  <si>
    <t xml:space="preserve"> 12,0000000</t>
  </si>
  <si>
    <t xml:space="preserve"> 4,10</t>
  </si>
  <si>
    <t xml:space="preserve"> 132,0000000</t>
  </si>
  <si>
    <t xml:space="preserve"> 0,33</t>
  </si>
  <si>
    <t xml:space="preserve"> 00039427 </t>
  </si>
  <si>
    <t>PERFIL CANALETA, FORMATO C, EM ACO ZINCADO, PARA ESTRUTURA FORRO DRYWALL, E = 0,5 MM, *46 X 18* (L X H), COMPRIMENTO 3 M</t>
  </si>
  <si>
    <t xml:space="preserve"> 7,2000000</t>
  </si>
  <si>
    <t xml:space="preserve"> 5,95</t>
  </si>
  <si>
    <t>PONTALETE *7,5 X 7,5* CM EM PINUS, MISTA OU EQUIVALENTE DA REGIAO - BRUTA</t>
  </si>
  <si>
    <t xml:space="preserve"> 6,4000000</t>
  </si>
  <si>
    <t xml:space="preserve"> 6,49</t>
  </si>
  <si>
    <t xml:space="preserve"> 00034653 </t>
  </si>
  <si>
    <t>DISJUNTOR TIPO DIN/IEC, MONOPOLAR DE 6  ATE  32A</t>
  </si>
  <si>
    <t xml:space="preserve"> 9,96</t>
  </si>
  <si>
    <t xml:space="preserve"> 00001578 </t>
  </si>
  <si>
    <t>TERMINAL A COMPRESSAO EM COBRE ESTANHADO PARA CABO 50 MM2, 1 FURO E 1 COMPRESSAO, PARA PARAFUSO DE FIXACAO M8</t>
  </si>
  <si>
    <t xml:space="preserve"> 8,0000000</t>
  </si>
  <si>
    <t xml:space="preserve"> 4,78</t>
  </si>
  <si>
    <t xml:space="preserve"> 24,0000000</t>
  </si>
  <si>
    <t xml:space="preserve"> 1,43</t>
  </si>
  <si>
    <t xml:space="preserve"> 00007356 </t>
  </si>
  <si>
    <t>TINTA ACRILICA PREMIUM, COR BRANCO FOSCO</t>
  </si>
  <si>
    <t xml:space="preserve"> 1,3200000</t>
  </si>
  <si>
    <t xml:space="preserve"> 21,84</t>
  </si>
  <si>
    <t xml:space="preserve"> 1,6131200</t>
  </si>
  <si>
    <t xml:space="preserve"> 40,5764976</t>
  </si>
  <si>
    <t xml:space="preserve"> 00001576 </t>
  </si>
  <si>
    <t>TERMINAL A COMPRESSAO EM COBRE ESTANHADO PARA CABO 25 MM2, 1 FURO E 1 COMPRESSAO, PARA PARAFUSO DE FIXACAO M8</t>
  </si>
  <si>
    <t xml:space="preserve"> 10,0000000</t>
  </si>
  <si>
    <t xml:space="preserve"> 2,44</t>
  </si>
  <si>
    <t xml:space="preserve"> 00039413 </t>
  </si>
  <si>
    <t>PLACA / CHAPA DE GESSO ACARTONADO, STANDARD (ST), COR BRANCA, E = 12,5 MM, 1200 X 2400 MM (L X C)</t>
  </si>
  <si>
    <t xml:space="preserve"> 13,05</t>
  </si>
  <si>
    <t xml:space="preserve"> 16,0000000</t>
  </si>
  <si>
    <t xml:space="preserve"> 1,22</t>
  </si>
  <si>
    <t xml:space="preserve"> 00039432 </t>
  </si>
  <si>
    <t>FITA DE PAPEL REFORCADA COM LAMINA DE METAL PARA REFORCO DE CANTOS DE CHAPA DE GESSO PARA DRYWALL</t>
  </si>
  <si>
    <t xml:space="preserve"> 1,93</t>
  </si>
  <si>
    <t xml:space="preserve"> 00004047 </t>
  </si>
  <si>
    <t>!EM PROCESSO DE DESATIVACAO! MASSA CORRIDA PVA PARA PAREDES INTERNAS</t>
  </si>
  <si>
    <t>GL</t>
  </si>
  <si>
    <t xml:space="preserve"> 0,9780000</t>
  </si>
  <si>
    <t xml:space="preserve"> 15,98</t>
  </si>
  <si>
    <t xml:space="preserve"> 00041898 </t>
  </si>
  <si>
    <t>MARTELO DEMOLIDOR PNEUMATICO MANUAL, PESO  DE 28 KG, COM SILENCIADOR</t>
  </si>
  <si>
    <t xml:space="preserve"> 0,0007253</t>
  </si>
  <si>
    <t xml:space="preserve"> 20.482,54</t>
  </si>
  <si>
    <t xml:space="preserve"> 1,1870016</t>
  </si>
  <si>
    <t xml:space="preserve"> 12,41</t>
  </si>
  <si>
    <t xml:space="preserve"> 11922 </t>
  </si>
  <si>
    <t>Fita adesiva marca 3M, largura 22mm, ref. VHB - rolo com 20m</t>
  </si>
  <si>
    <t xml:space="preserve"> 1,0500000</t>
  </si>
  <si>
    <t xml:space="preserve"> 13,21</t>
  </si>
  <si>
    <t xml:space="preserve"> 00025957 </t>
  </si>
  <si>
    <t>MONTADOR DE ESTRUTURAS METALICAS</t>
  </si>
  <si>
    <t xml:space="preserve"> 1,0533674</t>
  </si>
  <si>
    <t xml:space="preserve"> 12,88</t>
  </si>
  <si>
    <t xml:space="preserve"> 11,1490928</t>
  </si>
  <si>
    <t>SARRAFO NAO APARELHADO *2,5 X 7* CM, EM MACARANDUBA, ANGELIM OU EQUIVALENTE DA REGIAO -  BRUTA</t>
  </si>
  <si>
    <t xml:space="preserve"> 6,50</t>
  </si>
  <si>
    <t xml:space="preserve"> 00039434 </t>
  </si>
  <si>
    <t>MASSA DE REJUNTE EM PO PARA DRYWALL, A BASE DE GESSO, SECAGEM RAPIDA, PARA TRATAMENTO DE JUNTAS DE CHAPA DE GESSO (NECESSITA ADICAO DE AGUA)</t>
  </si>
  <si>
    <t xml:space="preserve"> 2,59</t>
  </si>
  <si>
    <t xml:space="preserve"> 00043493 </t>
  </si>
  <si>
    <t>EPI - FAMILIA TOPOGRAFO - HORISTA (ENCARGOS COMPLEMENTARES - COLETADO CAIXA)</t>
  </si>
  <si>
    <t xml:space="preserve"> 18,0000000</t>
  </si>
  <si>
    <t xml:space="preserve"> 0,52</t>
  </si>
  <si>
    <t xml:space="preserve"> 72,0000000</t>
  </si>
  <si>
    <t xml:space="preserve"> 0,13</t>
  </si>
  <si>
    <t>Arruela lisa de 3/8"</t>
  </si>
  <si>
    <t xml:space="preserve"> 2,1850000</t>
  </si>
  <si>
    <t xml:space="preserve"> 3,60</t>
  </si>
  <si>
    <t xml:space="preserve"> 3,0000000</t>
  </si>
  <si>
    <t xml:space="preserve"> 2,35</t>
  </si>
  <si>
    <t xml:space="preserve"> 8,6800000</t>
  </si>
  <si>
    <t xml:space="preserve"> 00001570 </t>
  </si>
  <si>
    <t>TERMINAL A COMPRESSAO EM COBRE ESTANHADO PARA CABO 2,5 MM2, 1 FURO E 1 COMPRESSAO, PARA PARAFUSO DE FIXACAO M5</t>
  </si>
  <si>
    <t xml:space="preserve"> 6,0000000</t>
  </si>
  <si>
    <t xml:space="preserve"> 0,89</t>
  </si>
  <si>
    <t xml:space="preserve"> 00001575 </t>
  </si>
  <si>
    <t>TERMINAL A COMPRESSAO EM COBRE ESTANHADO PARA CABO 16 MM2, 1 FURO E 1 COMPRESSAO, PARA PARAFUSO DE FIXACAO M6</t>
  </si>
  <si>
    <t xml:space="preserve"> 1,76</t>
  </si>
  <si>
    <t xml:space="preserve"> 00006085 </t>
  </si>
  <si>
    <t>SELADOR ACRILICO PAREDES INTERNAS/EXTERNAS</t>
  </si>
  <si>
    <t xml:space="preserve"> 0,6400000</t>
  </si>
  <si>
    <t xml:space="preserve"> 8,06</t>
  </si>
  <si>
    <t xml:space="preserve"> 3,8680000</t>
  </si>
  <si>
    <t xml:space="preserve"> 5,4000000</t>
  </si>
  <si>
    <t xml:space="preserve"> 00039435 </t>
  </si>
  <si>
    <t>PARAFUSO DRY WALL, EM ACO FOSFATIZADO, CABECA TROMBETA E PONTA AGULHA (TA), COMPRIMENTO 25 MM</t>
  </si>
  <si>
    <t xml:space="preserve"> 0,1760000</t>
  </si>
  <si>
    <t xml:space="preserve"> 20,24</t>
  </si>
  <si>
    <t xml:space="preserve"> 3,3923104</t>
  </si>
  <si>
    <t xml:space="preserve"> 0,54</t>
  </si>
  <si>
    <t>PEDRA BRITADA N. 1 (9,5 a 19 MM) POSTO PEDREIRA/FORNECEDOR, SEM FRETE</t>
  </si>
  <si>
    <t xml:space="preserve"> 0,0092512</t>
  </si>
  <si>
    <t xml:space="preserve"> 127,69</t>
  </si>
  <si>
    <t xml:space="preserve"> 0,0132304</t>
  </si>
  <si>
    <t xml:space="preserve"> 87,50</t>
  </si>
  <si>
    <t xml:space="preserve"> 00043469 </t>
  </si>
  <si>
    <t>FERRAMENTAS - FAMILIA TOPOGRAFO - HORISTA (ENCARGOS COMPLEMENTARES - COLETADO CAIXA)</t>
  </si>
  <si>
    <t>OPERADOR DE BETONEIRA ESTACIONARIA / MISTURADOR</t>
  </si>
  <si>
    <t xml:space="preserve"> 0,0238374</t>
  </si>
  <si>
    <t xml:space="preserve"> 12,52</t>
  </si>
  <si>
    <t xml:space="preserve"> 00003767 </t>
  </si>
  <si>
    <t>LIXA EM FOLHA PARA PAREDE OU MADEIRA, NUMERO 120 (COR VERMELHA)</t>
  </si>
  <si>
    <t xml:space="preserve"> 0,4000000</t>
  </si>
  <si>
    <t xml:space="preserve"> 0,70</t>
  </si>
  <si>
    <t xml:space="preserve"> 0,0000024</t>
  </si>
  <si>
    <t xml:space="preserve"> 4.200,00</t>
  </si>
  <si>
    <t xml:space="preserve"> 0,0152460</t>
  </si>
  <si>
    <t xml:space="preserve"> 0,65</t>
  </si>
  <si>
    <t>REFERÊNCIA: SINAPI - DF - 06/21 (NÃO DESONERADA)</t>
  </si>
  <si>
    <t xml:space="preserve"> 1.1.1 </t>
  </si>
  <si>
    <t>CONCRETO MAGRO PARA LASTRO, TRAÇO 1:4,5:4,5 (EM MASSA SECA DE CIMENTO/ AREIA MÉDIA/ BRITA 1) - PREPARO MECÂNICO COM BETONEIRA 400 L. AF_05/2021</t>
  </si>
  <si>
    <t xml:space="preserve"> 1.2.1 </t>
  </si>
  <si>
    <t xml:space="preserve"> 1.2.2 </t>
  </si>
  <si>
    <t xml:space="preserve"> 1.3.1 </t>
  </si>
  <si>
    <t xml:space="preserve"> 90440 </t>
  </si>
  <si>
    <t>FURO EM CONCRETO PARA DIÂMETROS MAIORES QUE 40 MM E MENORES OU IGUAIS A 75 MM. AF_05/2015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</si>
  <si>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</si>
  <si>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</si>
  <si>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</si>
  <si>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</si>
  <si>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 xml:space="preserve"> 2.1.1 </t>
  </si>
  <si>
    <t xml:space="preserve"> S-ELE-SFCR-PGR-12 </t>
  </si>
  <si>
    <t>APROVAÇÃO DE PROJETO NA CONCESSIONÁRIA</t>
  </si>
  <si>
    <t xml:space="preserve"> 91677 </t>
  </si>
  <si>
    <t>ENGENHEIRO ELETRICISTA COM ENCARGOS COMPLEMENTARES</t>
  </si>
  <si>
    <t xml:space="preserve"> 90775 </t>
  </si>
  <si>
    <t>DESENHISTA PROJETISTA COM ENCARGOS COMPLEMENTARES</t>
  </si>
  <si>
    <t xml:space="preserve"> 2.2.1 </t>
  </si>
  <si>
    <t xml:space="preserve"> S-ELE-SFCR-PGR-13 </t>
  </si>
  <si>
    <t>KIT GERADOR FOTOVOLTAICO (INVERSOR, STRING-BOX, MÓDULOS, CABOS, CONECTORES, ESTRUTURA DE FIXAÇÃO E MONITORAMENTO) 40,80 kWp PARA MONTAGEM EM TELHADO METÁLICO TRAPEZOIDAL - FORNECIMENTO E INSTALAÇÃO</t>
  </si>
  <si>
    <t xml:space="preserve"> 2.2.2 </t>
  </si>
  <si>
    <t xml:space="preserve"> S-ELE-SFCR-PGR-25 </t>
  </si>
  <si>
    <t>PLACA DE AVISO DE GERAÇÃO PRÓPRIA - FORNECIMENTO E INSTALAÇÃO</t>
  </si>
  <si>
    <t xml:space="preserve"> 2.2.3 </t>
  </si>
  <si>
    <t xml:space="preserve"> S-ELE-SFCR-PGR-26 </t>
  </si>
  <si>
    <t>IÇAMENTO DE MÓDULOS FOTOVOLTAICOS PARA A COBERTURA DA EDIFICAÇÃO</t>
  </si>
  <si>
    <t xml:space="preserve"> 88286 </t>
  </si>
  <si>
    <t>MOTORISTA OPERADOR DE MUNCK COM ENCARGOS COMPLEMENTARES</t>
  </si>
  <si>
    <t xml:space="preserve"> 93402 </t>
  </si>
  <si>
    <t>GUINDAUTO HIDRÁULICO, CAPACIDADE MÁXIMA DE CARGA 3300 KG, MOMENTO MÁXIMO DE CARGA 5,8 TM, ALCANCE MÁXIMO HORIZONTAL 7,60 M, INCLUSIVE CAMINHÃO TOCO PBT 16.000 KG, POTÊNCIA DE 189 CV - CHP DIURNO. AF_03/2016</t>
  </si>
  <si>
    <t xml:space="preserve"> 93403 </t>
  </si>
  <si>
    <t>GUINDAUTO HIDRÁULICO, CAPACIDADE MÁXIMA DE CARGA 3300 KG, MOMENTO MÁXIMO DE CARGA 5,8 TM, ALCANCE MÁXIMO HORIZONTAL 7,60 M, INCLUSIVE CAMINHÃO TOCO PBT 16.000 KG, POTÊNCIA DE 189 CV - CHI DIURNO. AF_03/2016</t>
  </si>
  <si>
    <t xml:space="preserve"> 2.3.1 </t>
  </si>
  <si>
    <t xml:space="preserve"> S-ELE-INFR-EL-F-P-50 </t>
  </si>
  <si>
    <t>ELETRODUTO EM ACO GALVANIZADO A FOGO (IMERSÃO A QUENTE), PESADO, PAREDE DE 2,25 MM - DIAMETRO NOMINAL 50 (2") - NBR 5624 - INCLUSIVE CONEXOES - FORNECIMENTO E INSTALACAO</t>
  </si>
  <si>
    <t xml:space="preserve"> 2.3.2 </t>
  </si>
  <si>
    <t xml:space="preserve"> S-ELE-INFR-EP-100x100 </t>
  </si>
  <si>
    <t>ELETROCALHA GALVANIZADA A FOGO, PERFURADA, CHAPA #18 - PAREDE 1,25 MM - DIM. 100 X 100 - INCLUSIVE CONEXÕES E ACESSÓRIOS - FORNECIMENTO E INSTALAÇÃO</t>
  </si>
  <si>
    <t xml:space="preserve"> 2.3.3 </t>
  </si>
  <si>
    <t xml:space="preserve"> S-ELE-SFCR-PGR-16 </t>
  </si>
  <si>
    <t>CAIXA DE PASSAGEM METALICA DE SOBREPOR COM TAMPA PARAFUSADA, DIMENSOES 30 X 30 X 10 CM - FORNECIMENTO E INSTALAÇÃO</t>
  </si>
  <si>
    <t xml:space="preserve"> 2.3.4 </t>
  </si>
  <si>
    <t xml:space="preserve"> S-HID-DIVE-SUP-HOR-03 </t>
  </si>
  <si>
    <t>SUPORTE PARA TUBOS/ DUTOS/ ELETROCALHA HORIZONTAIS (CHUMBADORES, TIRANTES, PERFILADO E ABRAÇADEIRA) - FORNECIMENTO E INSTALAÇÃO</t>
  </si>
  <si>
    <t xml:space="preserve"> 2.3.5 </t>
  </si>
  <si>
    <t xml:space="preserve"> S-ELE-SFCR-PGR-30 </t>
  </si>
  <si>
    <t>SUPORTE DE CONCRETO PARA FIXAÇÃO DE INFRAESTRUTURA EM LAJE IMPERMEABILIZADA</t>
  </si>
  <si>
    <t xml:space="preserve"> 2.4.1 </t>
  </si>
  <si>
    <t xml:space="preserve"> S-ELE-SFCR-PGR-17 </t>
  </si>
  <si>
    <t>CONJUNTO PARA ATERRAMENTO DE MÓDULO FOTOVOLTAICO - FORNECIMENTO E INSTALAÇÃO</t>
  </si>
  <si>
    <t xml:space="preserve"> 2.4.2 </t>
  </si>
  <si>
    <t xml:space="preserve"> S-ELE-SFCR-PGR-09 </t>
  </si>
  <si>
    <t>CORDOALHA DE COBRE NU 16 mm² - FORNECIMENTO E INSTALAÇÃO</t>
  </si>
  <si>
    <t>METRO</t>
  </si>
  <si>
    <t xml:space="preserve"> 2.5.1 </t>
  </si>
  <si>
    <t xml:space="preserve"> S-ELE-SFCR-PGR-22 </t>
  </si>
  <si>
    <t>QUADRO CA PARA 2 INVERSORES - FORNECIMENTO E INSTALAÇÃO</t>
  </si>
  <si>
    <t xml:space="preserve"> 88266 </t>
  </si>
  <si>
    <t>ELETROTÉCNICO COM ENCARGOS COMPLEMENTARES</t>
  </si>
  <si>
    <t xml:space="preserve"> 92984 </t>
  </si>
  <si>
    <t>CABO DE COBRE FLEXÍVEL ISOLADO, 25 MM², ANTI-CHAMA 0,6/1,0 KV, PARA DISTRIBUIÇÃO - FORNECIMENTO E INSTALAÇÃO. AF_12/2015</t>
  </si>
  <si>
    <t xml:space="preserve"> 92982 </t>
  </si>
  <si>
    <t>CABO DE COBRE FLEXÍVEL ISOLADO, 16 MM², ANTI-CHAMA 0,6/1,0 KV, PARA DISTRIBUIÇÃO - FORNECIMENTO E INSTALAÇÃO. AF_12/2015</t>
  </si>
  <si>
    <t xml:space="preserve"> 2.6.1 </t>
  </si>
  <si>
    <t xml:space="preserve"> S-ELE-SFCR-PGR-23 </t>
  </si>
  <si>
    <t>CONEXÃO DE QUADRO CA PARA 2 INVERSORES</t>
  </si>
  <si>
    <t xml:space="preserve"> 92988 </t>
  </si>
  <si>
    <t>CABO DE COBRE FLEXÍVEL ISOLADO, 50 MM², ANTI-CHAMA 0,6/1,0 KV, PARA DISTRIBUIÇÃO - FORNECIMENTO E INSTALAÇÃO. AF_12/2015</t>
  </si>
  <si>
    <t xml:space="preserve"> 2.7.1 </t>
  </si>
  <si>
    <t xml:space="preserve"> S-ELE-SFCR-PGR-24 </t>
  </si>
  <si>
    <t>CONDUTORES DE CONEXÃO DO COMANDO DO SFCR COM O GRUPO MOTOR-GERADOR - FORNECIMENTO E INSTALAÇÃO</t>
  </si>
  <si>
    <t xml:space="preserve"> 2.7.2 </t>
  </si>
  <si>
    <t xml:space="preserve"> S-ELE-SFCR-PGR-32 </t>
  </si>
  <si>
    <t>CONTATOR DE INTERFACE DO SFCR COM O GRUPO MOTOR-GERADOR - FORNECIMENTO E INSTALAÇÃO</t>
  </si>
  <si>
    <t xml:space="preserve"> 2.7.3 </t>
  </si>
  <si>
    <t xml:space="preserve"> S-ELE-SFCR-PGR-31 </t>
  </si>
  <si>
    <t>ABERTURA E RECOMPOSIÇÃO DE VISITA EM FORRO DE GESSO</t>
  </si>
  <si>
    <t xml:space="preserve"> 88278 </t>
  </si>
  <si>
    <t>MONTADOR DE ESTRUTURA METÁLICA COM ENCARGOS COMPLEMENTARES</t>
  </si>
  <si>
    <t xml:space="preserve"> 2.8.1 </t>
  </si>
  <si>
    <t xml:space="preserve"> S-ELE-SFCR-PGR-20 </t>
  </si>
  <si>
    <t>COMISSIONAMENTO DE SFCR</t>
  </si>
  <si>
    <t>kWp</t>
  </si>
  <si>
    <t xml:space="preserve"> 2.9.1 </t>
  </si>
  <si>
    <t xml:space="preserve"> S-ELE-SFCR-PGR-29 </t>
  </si>
  <si>
    <t>AS BUILT</t>
  </si>
  <si>
    <t xml:space="preserve"> 3.1.1 </t>
  </si>
  <si>
    <t xml:space="preserve"> 95407 </t>
  </si>
  <si>
    <t>CURSO DE CAPACITAÇÃO PARA ENGENHEIRO ELETRICISTA (ENCARGOS COMPLEMENTARES) - HORISTA</t>
  </si>
  <si>
    <t xml:space="preserve"> 95400 </t>
  </si>
  <si>
    <t>CURSO DE CAPACITAÇÃO PARA DESENHISTA PROJETISTA (ENCARGOS COMPLEMENTARES) - HORISTA</t>
  </si>
  <si>
    <t xml:space="preserve"> 95334 </t>
  </si>
  <si>
    <t>CURSO DE CAPACITAÇÃO PARA ELETROTÉCNICO (ENCARGOS COMPLEMENTARES) - HORISTA</t>
  </si>
  <si>
    <t xml:space="preserve"> 95344 </t>
  </si>
  <si>
    <t>CURSO DE CAPACITAÇÃO PARA MONTADOR DE ESTRUTURA METÁLICA (ENCARGOS COMPLEMENTARES) - HORISTA</t>
  </si>
  <si>
    <t xml:space="preserve"> 95351 </t>
  </si>
  <si>
    <t>CURSO DE CAPACITAÇÃO PARA MOTORISTA OPERADOR DE MUNCK (ENCARGOS COMPLEMENTARES) - HORISTA</t>
  </si>
  <si>
    <t xml:space="preserve"> 95361 </t>
  </si>
  <si>
    <t>CURSO DE CAPACITAÇÃO PARA OPERADOR DE MARTELETE OU MARTELETEIRO (ENCARGOS COMPLEMENTARES) - HORISTA</t>
  </si>
  <si>
    <t xml:space="preserve"> 93399 </t>
  </si>
  <si>
    <t>GUINDAUTO HIDRÁULICO, CAPACIDADE MÁXIMA DE CARGA 3300 KG, MOMENTO MÁXIMO DE CARGA 5,8 TM, ALCANCE MÁXIMO HORIZONTAL 7,60 M, INCLUSIVE CAMINHÃO TOCO PBT 16.000 KG, POTÊNCIA DE 189 CV  IMPOSTOS E SEGUROS. AF_03/2016</t>
  </si>
  <si>
    <t xml:space="preserve"> 93398 </t>
  </si>
  <si>
    <t>GUINDAUTO HIDRÁULICO, CAPACIDADE MÁXIMA DE CARGA 3300 KG, MOMENTO MÁXIMO DE CARGA 5,8 TM, ALCANCE MÁXIMO HORIZONTAL 7,60 M, INCLUSIVE CAMINHÃO TOCO PBT 16.000 KG, POTÊNCIA DE 189 CV - JUROS. AF_03/2016</t>
  </si>
  <si>
    <t xml:space="preserve"> 93397 </t>
  </si>
  <si>
    <t>GUINDAUTO HIDRÁULICO, CAPACIDADE MÁXIMA DE CARGA 3300 KG, MOMENTO MÁXIMO DE CARGA 5,8 TM, ALCANCE MÁXIMO HORIZONTAL 7,60 M, INCLUSIVE CAMINHÃO TOCO PBT 16.000 KG, POTÊNCIA DE 189 CV - DEPRECIAÇÃO. AF_03/2016</t>
  </si>
  <si>
    <t xml:space="preserve"> 93401 </t>
  </si>
  <si>
    <t>GUINDAUTO HIDRÁULICO, CAPACIDADE MÁXIMA DE CARGA 3300 KG, MOMENTO MÁXIMO DE CARGA 5,8 TM, ALCANCE MÁXIMO HORIZONTAL 7,60 M, INCLUSIVE CAMINHÃO TOCO PBT 16.000 KG, POTÊNCIA DE 189 CV - MATERIAIS NA OPERAÇÃO. AF_03/2016</t>
  </si>
  <si>
    <t xml:space="preserve"> 93400 </t>
  </si>
  <si>
    <t>GUINDAUTO HIDRÁULICO, CAPACIDADE MÁXIMA DE CARGA 3300 KG, MOMENTO MÁXIMO DE CARGA 5,8 TM, ALCANCE MÁXIMO HORIZONTAL 7,60 M, INCLUSIVE CAMINHÃO TOCO PBT 16.000 KG, POTÊNCIA DE 189 CV - MANUTENÇÃO. AF_03/2016</t>
  </si>
  <si>
    <t xml:space="preserve"> 95114 </t>
  </si>
  <si>
    <t>MARTELETE OU ROMPEDOR PNEUMÁTICO MANUAL, 28 KG, COM SILENCIADOR - DEPRECIAÇÃO. AF_07/2016</t>
  </si>
  <si>
    <t xml:space="preserve"> 95115 </t>
  </si>
  <si>
    <t>MARTELETE OU ROMPEDOR PNEUMÁTICO MANUAL, 28 KG, COM SILENCIADOR - JUROS. AF_07/2016</t>
  </si>
  <si>
    <t xml:space="preserve"> 88298 </t>
  </si>
  <si>
    <t>OPERADOR DE MARTELETE OU MARTELETEIRO COM ENCARGOS COMPLEMENTARES</t>
  </si>
  <si>
    <t xml:space="preserve"> 53863 </t>
  </si>
  <si>
    <t>MARTELETE OU ROMPEDOR PNEUMÁTICO MANUAL, 28 KG, COM SILENCIADOR - MANUTENÇÃO. AF_07/2016</t>
  </si>
  <si>
    <t xml:space="preserve"> 1 </t>
  </si>
  <si>
    <t>SERVIÇOS PRELIMINARES</t>
  </si>
  <si>
    <t xml:space="preserve"> 1.1 </t>
  </si>
  <si>
    <t xml:space="preserve"> 1.2 </t>
  </si>
  <si>
    <t xml:space="preserve"> 1.3 </t>
  </si>
  <si>
    <t>DEMOLIÇÕES</t>
  </si>
  <si>
    <t xml:space="preserve"> 2 </t>
  </si>
  <si>
    <t>SISTEMA FOTOVOLTAICO CONECTADO À REDE</t>
  </si>
  <si>
    <t xml:space="preserve"> 2.1 </t>
  </si>
  <si>
    <t xml:space="preserve"> 2.2 </t>
  </si>
  <si>
    <t>MONTAGEM DO SISTEMA FOTOVOLTAICO</t>
  </si>
  <si>
    <t xml:space="preserve"> 2.3 </t>
  </si>
  <si>
    <t>INFRAESTRUTURA</t>
  </si>
  <si>
    <t xml:space="preserve"> 2.4 </t>
  </si>
  <si>
    <t>ATERRAMENTO DOS MÓDULOS</t>
  </si>
  <si>
    <t xml:space="preserve"> 2.5 </t>
  </si>
  <si>
    <t>CONEXÃO CA DOS INVERSORES</t>
  </si>
  <si>
    <t xml:space="preserve"> 2.6 </t>
  </si>
  <si>
    <t>INTERLIGAÇÃO COM A REDE EXISTENTE</t>
  </si>
  <si>
    <t xml:space="preserve"> 2.7 </t>
  </si>
  <si>
    <t>INTERLIGAÇÃO COM O GRUPO MOTOR GERADOR</t>
  </si>
  <si>
    <t xml:space="preserve"> 2.8 </t>
  </si>
  <si>
    <t>COMISSIONAMENTO</t>
  </si>
  <si>
    <t xml:space="preserve"> 2.9 </t>
  </si>
  <si>
    <t xml:space="preserve"> 3 </t>
  </si>
  <si>
    <t>ADMINISTRAÇÃO DE OBRA</t>
  </si>
  <si>
    <t xml:space="preserve"> 3.1 </t>
  </si>
  <si>
    <t>ADMINISTRAÇÃO LOCAL</t>
  </si>
  <si>
    <t xml:space="preserve"> 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</si>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</sst>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_-* #,##0_-;\-* #,##0_-;_-* &quot;-&quot;??_-;_-@_-"/>
    <numFmt numFmtId="166" formatCode="0.000000"/>
    <numFmt numFmtId="167" formatCode="0.0%"/>
    <numFmt numFmtId="168" formatCode="mm/yy"/>
    <numFmt numFmtId="169" formatCode="_(&quot;R$ &quot;* #,##0.00_);_(&quot;R$ &quot;* \(#,##0.00\);_(&quot;R$ &quot;* \-??_);_(@_)"/>
    <numFmt numFmtId="170" formatCode="#,##0.00\ %"/>
  </numFmts>
  <fonts count="37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b/>
      <sz val="12"/>
      <color indexed="12"/>
      <name val="Arial"/>
      <family val="2"/>
    </font>
    <font>
      <sz val="11"/>
      <color rgb="FF0070C0"/>
      <name val="Arial"/>
      <family val="1"/>
    </font>
    <font>
      <b/>
      <sz val="10"/>
      <color rgb="FF0070C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1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CCCCC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</cellStyleXfs>
  <cellXfs count="418">
    <xf numFmtId="0" fontId="0" fillId="0" borderId="0" xfId="0"/>
    <xf numFmtId="0" fontId="16" fillId="13" borderId="3" xfId="3" applyFont="1" applyFill="1" applyBorder="1" applyAlignment="1" applyProtection="1">
      <alignment horizontal="center" vertical="center"/>
    </xf>
    <xf numFmtId="0" fontId="15" fillId="0" borderId="0" xfId="3" applyFont="1" applyFill="1" applyProtection="1"/>
    <xf numFmtId="0" fontId="18" fillId="0" borderId="6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vertical="center"/>
    </xf>
    <xf numFmtId="0" fontId="18" fillId="0" borderId="9" xfId="3" applyFont="1" applyBorder="1" applyAlignment="1" applyProtection="1">
      <alignment horizontal="center" vertical="center"/>
    </xf>
    <xf numFmtId="0" fontId="18" fillId="0" borderId="10" xfId="3" applyFont="1" applyBorder="1" applyAlignment="1" applyProtection="1">
      <alignment vertical="center"/>
    </xf>
    <xf numFmtId="0" fontId="20" fillId="0" borderId="7" xfId="3" applyFont="1" applyBorder="1" applyAlignment="1" applyProtection="1">
      <alignment horizontal="center" vertical="center"/>
    </xf>
    <xf numFmtId="10" fontId="15" fillId="14" borderId="8" xfId="3" applyNumberFormat="1" applyFont="1" applyFill="1" applyBorder="1" applyAlignment="1" applyProtection="1">
      <alignment horizontal="center"/>
      <protection locked="0"/>
    </xf>
    <xf numFmtId="0" fontId="18" fillId="0" borderId="12" xfId="3" applyFont="1" applyBorder="1" applyAlignment="1" applyProtection="1">
      <alignment horizontal="center" vertical="center"/>
    </xf>
    <xf numFmtId="0" fontId="18" fillId="0" borderId="13" xfId="3" applyFont="1" applyBorder="1" applyAlignment="1" applyProtection="1">
      <alignment vertical="center"/>
    </xf>
    <xf numFmtId="0" fontId="20" fillId="0" borderId="13" xfId="3" applyFont="1" applyBorder="1" applyAlignment="1" applyProtection="1">
      <alignment horizontal="center" vertical="center"/>
    </xf>
    <xf numFmtId="10" fontId="15" fillId="14" borderId="14" xfId="3" applyNumberFormat="1" applyFont="1" applyFill="1" applyBorder="1" applyAlignment="1" applyProtection="1">
      <alignment horizontal="center"/>
      <protection locked="0"/>
    </xf>
    <xf numFmtId="0" fontId="18" fillId="0" borderId="15" xfId="3" applyFont="1" applyBorder="1" applyAlignment="1" applyProtection="1">
      <alignment vertical="center"/>
    </xf>
    <xf numFmtId="10" fontId="19" fillId="14" borderId="16" xfId="3" applyNumberFormat="1" applyFont="1" applyFill="1" applyBorder="1" applyAlignment="1" applyProtection="1">
      <alignment horizontal="center"/>
      <protection locked="0"/>
    </xf>
    <xf numFmtId="10" fontId="15" fillId="14" borderId="16" xfId="3" applyNumberFormat="1" applyFont="1" applyFill="1" applyBorder="1" applyAlignment="1" applyProtection="1">
      <alignment horizontal="center"/>
      <protection locked="0"/>
    </xf>
    <xf numFmtId="0" fontId="18" fillId="0" borderId="17" xfId="3" applyFont="1" applyBorder="1" applyAlignment="1" applyProtection="1">
      <alignment horizontal="center" vertical="center"/>
    </xf>
    <xf numFmtId="10" fontId="15" fillId="14" borderId="11" xfId="3" applyNumberFormat="1" applyFont="1" applyFill="1" applyBorder="1" applyAlignment="1" applyProtection="1">
      <alignment horizontal="center"/>
      <protection locked="0"/>
    </xf>
    <xf numFmtId="0" fontId="20" fillId="0" borderId="3" xfId="3" applyFont="1" applyBorder="1" applyAlignment="1" applyProtection="1">
      <alignment horizontal="center" vertical="center"/>
    </xf>
    <xf numFmtId="0" fontId="18" fillId="0" borderId="4" xfId="3" applyFont="1" applyBorder="1" applyAlignment="1" applyProtection="1">
      <alignment horizontal="center" vertical="center" wrapText="1"/>
    </xf>
    <xf numFmtId="0" fontId="16" fillId="0" borderId="4" xfId="3" applyFont="1" applyFill="1" applyBorder="1" applyAlignment="1" applyProtection="1">
      <alignment horizontal="center" vertical="center"/>
    </xf>
    <xf numFmtId="10" fontId="16" fillId="0" borderId="5" xfId="3" applyNumberFormat="1" applyFont="1" applyFill="1" applyBorder="1" applyAlignment="1" applyProtection="1">
      <alignment horizontal="center" vertical="center"/>
    </xf>
    <xf numFmtId="0" fontId="19" fillId="0" borderId="0" xfId="3" applyFont="1" applyFill="1" applyProtection="1"/>
    <xf numFmtId="10" fontId="19" fillId="0" borderId="0" xfId="3" applyNumberFormat="1" applyFont="1" applyFill="1" applyBorder="1" applyAlignment="1" applyProtection="1">
      <alignment horizontal="center"/>
    </xf>
    <xf numFmtId="10" fontId="15" fillId="0" borderId="0" xfId="3" applyNumberFormat="1" applyFont="1" applyFill="1" applyBorder="1" applyAlignment="1" applyProtection="1">
      <alignment horizontal="center"/>
    </xf>
    <xf numFmtId="10" fontId="15" fillId="0" borderId="0" xfId="3" applyNumberFormat="1" applyFont="1" applyFill="1" applyAlignment="1" applyProtection="1">
      <alignment horizontal="center"/>
    </xf>
    <xf numFmtId="0" fontId="22" fillId="0" borderId="0" xfId="3" applyFont="1" applyBorder="1" applyAlignment="1" applyProtection="1">
      <alignment vertical="center"/>
      <protection locked="0"/>
    </xf>
    <xf numFmtId="49" fontId="24" fillId="15" borderId="18" xfId="3" applyNumberFormat="1" applyFont="1" applyFill="1" applyBorder="1" applyAlignment="1" applyProtection="1">
      <alignment horizontal="center" vertical="center"/>
    </xf>
    <xf numFmtId="168" fontId="24" fillId="15" borderId="18" xfId="3" applyNumberFormat="1" applyFont="1" applyFill="1" applyBorder="1" applyAlignment="1" applyProtection="1">
      <alignment horizontal="center" vertical="center" wrapText="1"/>
    </xf>
    <xf numFmtId="168" fontId="24" fillId="15" borderId="18" xfId="3" applyNumberFormat="1" applyFont="1" applyFill="1" applyBorder="1" applyAlignment="1" applyProtection="1">
      <alignment horizontal="center" vertical="center"/>
    </xf>
    <xf numFmtId="168" fontId="23" fillId="15" borderId="18" xfId="3" applyNumberFormat="1" applyFont="1" applyFill="1" applyBorder="1" applyAlignment="1" applyProtection="1">
      <alignment horizontal="center" vertical="center"/>
    </xf>
    <xf numFmtId="0" fontId="23" fillId="0" borderId="0" xfId="3" applyFont="1" applyAlignment="1" applyProtection="1">
      <alignment vertical="center"/>
    </xf>
    <xf numFmtId="4" fontId="23" fillId="0" borderId="18" xfId="3" applyNumberFormat="1" applyFont="1" applyFill="1" applyBorder="1" applyAlignment="1" applyProtection="1">
      <alignment horizontal="center" vertical="center"/>
    </xf>
    <xf numFmtId="39" fontId="23" fillId="0" borderId="18" xfId="3" applyNumberFormat="1" applyFont="1" applyFill="1" applyBorder="1" applyAlignment="1" applyProtection="1">
      <alignment horizontal="center" vertical="center"/>
    </xf>
    <xf numFmtId="39" fontId="22" fillId="0" borderId="0" xfId="3" applyNumberFormat="1" applyFont="1" applyFill="1" applyBorder="1" applyAlignment="1" applyProtection="1">
      <alignment horizontal="center" vertical="center"/>
    </xf>
    <xf numFmtId="10" fontId="26" fillId="0" borderId="18" xfId="3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10" fontId="25" fillId="0" borderId="18" xfId="6" applyNumberFormat="1" applyFont="1" applyFill="1" applyBorder="1" applyAlignment="1" applyProtection="1">
      <alignment horizontal="center" vertical="center"/>
    </xf>
    <xf numFmtId="4" fontId="23" fillId="18" borderId="18" xfId="3" applyNumberFormat="1" applyFont="1" applyFill="1" applyBorder="1" applyAlignment="1" applyProtection="1">
      <alignment horizontal="center" vertical="center"/>
    </xf>
    <xf numFmtId="39" fontId="22" fillId="0" borderId="0" xfId="3" applyNumberFormat="1" applyFont="1" applyAlignment="1" applyProtection="1">
      <alignment vertical="center"/>
    </xf>
    <xf numFmtId="10" fontId="28" fillId="18" borderId="18" xfId="4" applyNumberFormat="1" applyFont="1" applyFill="1" applyBorder="1" applyAlignment="1" applyProtection="1">
      <alignment horizontal="center" vertical="center"/>
    </xf>
    <xf numFmtId="10" fontId="17" fillId="18" borderId="18" xfId="3" applyNumberFormat="1" applyFont="1" applyFill="1" applyBorder="1" applyAlignment="1" applyProtection="1">
      <alignment horizontal="center" vertical="center"/>
    </xf>
    <xf numFmtId="4" fontId="23" fillId="18" borderId="19" xfId="3" applyNumberFormat="1" applyFont="1" applyFill="1" applyBorder="1" applyAlignment="1" applyProtection="1">
      <alignment horizontal="center" vertical="center"/>
    </xf>
    <xf numFmtId="4" fontId="22" fillId="0" borderId="0" xfId="3" applyNumberFormat="1" applyFont="1" applyAlignment="1" applyProtection="1">
      <alignment vertical="center"/>
    </xf>
    <xf numFmtId="49" fontId="22" fillId="0" borderId="0" xfId="3" applyNumberFormat="1" applyFont="1" applyFill="1" applyAlignment="1" applyProtection="1">
      <alignment horizontal="center" vertical="center"/>
    </xf>
    <xf numFmtId="0" fontId="22" fillId="0" borderId="0" xfId="3" applyFont="1" applyBorder="1" applyAlignment="1" applyProtection="1">
      <alignment horizontal="left" vertical="center" wrapText="1"/>
    </xf>
    <xf numFmtId="0" fontId="22" fillId="0" borderId="0" xfId="3" applyFont="1" applyBorder="1" applyAlignment="1" applyProtection="1">
      <alignment vertical="center" wrapText="1"/>
    </xf>
    <xf numFmtId="2" fontId="22" fillId="0" borderId="0" xfId="3" applyNumberFormat="1" applyFont="1" applyBorder="1" applyAlignment="1" applyProtection="1">
      <alignment vertical="center" wrapText="1"/>
    </xf>
    <xf numFmtId="39" fontId="22" fillId="0" borderId="0" xfId="3" applyNumberFormat="1" applyFont="1" applyAlignment="1" applyProtection="1">
      <alignment horizontal="right" vertical="center"/>
    </xf>
    <xf numFmtId="0" fontId="22" fillId="0" borderId="0" xfId="3" applyFont="1" applyAlignment="1" applyProtection="1">
      <alignment horizontal="left" vertical="center" wrapText="1"/>
    </xf>
    <xf numFmtId="39" fontId="22" fillId="0" borderId="0" xfId="3" applyNumberFormat="1" applyFont="1" applyAlignment="1" applyProtection="1">
      <alignment horizontal="center" vertical="center"/>
    </xf>
    <xf numFmtId="0" fontId="22" fillId="0" borderId="0" xfId="3" applyNumberFormat="1" applyFont="1" applyAlignment="1" applyProtection="1">
      <alignment horizontal="left" vertical="center" wrapText="1"/>
    </xf>
    <xf numFmtId="0" fontId="22" fillId="0" borderId="0" xfId="3" applyNumberFormat="1" applyFont="1" applyAlignment="1" applyProtection="1">
      <alignment horizontal="right" vertical="center"/>
    </xf>
    <xf numFmtId="0" fontId="22" fillId="0" borderId="0" xfId="3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3" applyFont="1" applyFill="1" applyBorder="1" applyAlignment="1" applyProtection="1">
      <alignment vertical="center"/>
    </xf>
    <xf numFmtId="0" fontId="19" fillId="0" borderId="0" xfId="3" applyFont="1" applyFill="1" applyBorder="1" applyProtection="1"/>
    <xf numFmtId="0" fontId="14" fillId="0" borderId="0" xfId="3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Protection="1"/>
    <xf numFmtId="0" fontId="19" fillId="0" borderId="0" xfId="0" applyFont="1" applyAlignment="1">
      <alignment vertical="center"/>
    </xf>
    <xf numFmtId="0" fontId="10" fillId="11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11" fillId="8" borderId="0" xfId="0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center" vertical="center"/>
    </xf>
    <xf numFmtId="164" fontId="11" fillId="8" borderId="0" xfId="0" applyNumberFormat="1" applyFont="1" applyFill="1" applyBorder="1" applyAlignment="1">
      <alignment horizontal="right" vertical="center"/>
    </xf>
    <xf numFmtId="4" fontId="11" fillId="8" borderId="0" xfId="0" applyNumberFormat="1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right" vertical="center"/>
    </xf>
    <xf numFmtId="4" fontId="12" fillId="5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12" fillId="6" borderId="0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4" fontId="12" fillId="6" borderId="0" xfId="0" applyNumberFormat="1" applyFont="1" applyFill="1" applyBorder="1" applyAlignment="1">
      <alignment horizontal="right" vertical="center"/>
    </xf>
    <xf numFmtId="0" fontId="11" fillId="8" borderId="30" xfId="0" applyFont="1" applyFill="1" applyBorder="1" applyAlignment="1">
      <alignment horizontal="left" vertical="center"/>
    </xf>
    <xf numFmtId="4" fontId="11" fillId="8" borderId="31" xfId="0" applyNumberFormat="1" applyFont="1" applyFill="1" applyBorder="1" applyAlignment="1">
      <alignment horizontal="right" vertical="center"/>
    </xf>
    <xf numFmtId="0" fontId="12" fillId="5" borderId="30" xfId="0" applyFont="1" applyFill="1" applyBorder="1" applyAlignment="1">
      <alignment horizontal="left" vertical="center"/>
    </xf>
    <xf numFmtId="4" fontId="12" fillId="5" borderId="31" xfId="0" applyNumberFormat="1" applyFont="1" applyFill="1" applyBorder="1" applyAlignment="1">
      <alignment horizontal="right" vertical="center"/>
    </xf>
    <xf numFmtId="0" fontId="12" fillId="6" borderId="2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right" vertical="center" wrapText="1"/>
    </xf>
    <xf numFmtId="164" fontId="12" fillId="6" borderId="21" xfId="0" applyNumberFormat="1" applyFont="1" applyFill="1" applyBorder="1" applyAlignment="1">
      <alignment horizontal="right" vertical="center"/>
    </xf>
    <xf numFmtId="4" fontId="12" fillId="6" borderId="29" xfId="0" applyNumberFormat="1" applyFont="1" applyFill="1" applyBorder="1" applyAlignment="1">
      <alignment horizontal="right" vertical="center"/>
    </xf>
    <xf numFmtId="0" fontId="12" fillId="6" borderId="21" xfId="0" applyFont="1" applyFill="1" applyBorder="1" applyAlignment="1">
      <alignment horizontal="center" vertical="top"/>
    </xf>
    <xf numFmtId="4" fontId="12" fillId="6" borderId="21" xfId="0" applyNumberFormat="1" applyFont="1" applyFill="1" applyBorder="1" applyAlignment="1">
      <alignment horizontal="right" vertical="top"/>
    </xf>
    <xf numFmtId="43" fontId="12" fillId="0" borderId="0" xfId="1" applyNumberFormat="1" applyFont="1" applyAlignment="1">
      <alignment horizontal="center" vertical="center"/>
    </xf>
    <xf numFmtId="43" fontId="12" fillId="0" borderId="0" xfId="1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11" borderId="23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165" fontId="10" fillId="11" borderId="24" xfId="1" applyNumberFormat="1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left" vertical="center"/>
    </xf>
    <xf numFmtId="0" fontId="10" fillId="11" borderId="27" xfId="0" applyFont="1" applyFill="1" applyBorder="1" applyAlignment="1">
      <alignment horizontal="left" vertical="center"/>
    </xf>
    <xf numFmtId="43" fontId="12" fillId="0" borderId="0" xfId="1" applyNumberFormat="1" applyFont="1" applyBorder="1" applyAlignment="1">
      <alignment horizontal="center" vertical="center"/>
    </xf>
    <xf numFmtId="43" fontId="12" fillId="0" borderId="0" xfId="1" applyNumberFormat="1" applyFont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2" fontId="12" fillId="0" borderId="27" xfId="0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2" fontId="12" fillId="0" borderId="21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2" fontId="12" fillId="0" borderId="29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10" fontId="25" fillId="22" borderId="18" xfId="4" applyNumberFormat="1" applyFont="1" applyFill="1" applyBorder="1" applyAlignment="1" applyProtection="1">
      <alignment horizontal="center" vertical="center"/>
      <protection locked="0"/>
    </xf>
    <xf numFmtId="10" fontId="12" fillId="23" borderId="18" xfId="1" applyNumberFormat="1" applyFont="1" applyFill="1" applyBorder="1" applyAlignment="1">
      <alignment horizontal="right" vertical="center" wrapText="1"/>
    </xf>
    <xf numFmtId="10" fontId="11" fillId="9" borderId="18" xfId="2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11" borderId="0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top"/>
    </xf>
    <xf numFmtId="0" fontId="14" fillId="11" borderId="18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left" vertical="center"/>
    </xf>
    <xf numFmtId="0" fontId="15" fillId="12" borderId="0" xfId="3" applyFont="1" applyFill="1" applyAlignment="1" applyProtection="1">
      <alignment horizontal="center"/>
    </xf>
    <xf numFmtId="10" fontId="19" fillId="14" borderId="8" xfId="4" applyNumberFormat="1" applyFont="1" applyFill="1" applyBorder="1" applyAlignment="1" applyProtection="1">
      <alignment horizontal="center" vertical="center"/>
      <protection locked="0"/>
    </xf>
    <xf numFmtId="10" fontId="19" fillId="14" borderId="11" xfId="4" applyNumberFormat="1" applyFont="1" applyFill="1" applyBorder="1" applyAlignment="1" applyProtection="1">
      <alignment horizontal="center" vertical="center"/>
      <protection locked="0"/>
    </xf>
    <xf numFmtId="0" fontId="32" fillId="0" borderId="0" xfId="9" applyFont="1" applyAlignment="1" applyProtection="1">
      <alignment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 applyProtection="1">
      <alignment vertical="top" wrapText="1"/>
    </xf>
    <xf numFmtId="0" fontId="10" fillId="11" borderId="18" xfId="9" applyFont="1" applyFill="1" applyBorder="1" applyAlignment="1" applyProtection="1">
      <alignment horizontal="center" vertical="top" wrapText="1"/>
    </xf>
    <xf numFmtId="0" fontId="12" fillId="0" borderId="18" xfId="9" applyFont="1" applyBorder="1" applyAlignment="1" applyProtection="1">
      <alignment vertical="top"/>
    </xf>
    <xf numFmtId="0" fontId="12" fillId="0" borderId="18" xfId="9" applyFont="1" applyBorder="1" applyAlignment="1" applyProtection="1">
      <alignment vertical="top" wrapText="1"/>
    </xf>
    <xf numFmtId="10" fontId="12" fillId="22" borderId="18" xfId="10" applyNumberFormat="1" applyFont="1" applyFill="1" applyBorder="1" applyAlignment="1" applyProtection="1">
      <alignment vertical="top"/>
      <protection locked="0"/>
    </xf>
    <xf numFmtId="0" fontId="10" fillId="24" borderId="18" xfId="9" applyFont="1" applyFill="1" applyBorder="1" applyAlignment="1" applyProtection="1">
      <alignment vertical="top"/>
    </xf>
    <xf numFmtId="0" fontId="10" fillId="24" borderId="18" xfId="9" applyFont="1" applyFill="1" applyBorder="1" applyAlignment="1" applyProtection="1">
      <alignment vertical="top" wrapText="1"/>
    </xf>
    <xf numFmtId="10" fontId="10" fillId="24" borderId="18" xfId="9" applyNumberFormat="1" applyFont="1" applyFill="1" applyBorder="1" applyAlignment="1" applyProtection="1">
      <alignment vertical="top"/>
    </xf>
    <xf numFmtId="10" fontId="12" fillId="22" borderId="18" xfId="10" applyNumberFormat="1" applyFont="1" applyFill="1" applyBorder="1" applyAlignment="1" applyProtection="1">
      <alignment horizontal="center" vertical="top"/>
      <protection locked="0"/>
    </xf>
    <xf numFmtId="10" fontId="16" fillId="25" borderId="18" xfId="9" applyNumberFormat="1" applyFont="1" applyFill="1" applyBorder="1" applyAlignment="1" applyProtection="1">
      <alignment vertical="top"/>
    </xf>
    <xf numFmtId="0" fontId="0" fillId="0" borderId="0" xfId="0" applyFill="1" applyBorder="1" applyProtection="1"/>
    <xf numFmtId="0" fontId="12" fillId="0" borderId="0" xfId="0" applyFont="1" applyProtection="1"/>
    <xf numFmtId="0" fontId="12" fillId="0" borderId="0" xfId="0" applyFont="1" applyFill="1" applyProtection="1"/>
    <xf numFmtId="0" fontId="0" fillId="0" borderId="0" xfId="0" applyProtection="1"/>
    <xf numFmtId="165" fontId="12" fillId="0" borderId="0" xfId="1" applyNumberFormat="1" applyFont="1" applyProtection="1"/>
    <xf numFmtId="0" fontId="12" fillId="0" borderId="0" xfId="0" applyFont="1" applyBorder="1" applyProtection="1"/>
    <xf numFmtId="0" fontId="0" fillId="0" borderId="0" xfId="0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0" fillId="0" borderId="0" xfId="0" applyBorder="1" applyProtection="1"/>
    <xf numFmtId="0" fontId="19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11" borderId="18" xfId="0" applyFont="1" applyFill="1" applyBorder="1" applyAlignment="1" applyProtection="1">
      <alignment horizontal="center" vertical="center"/>
    </xf>
    <xf numFmtId="0" fontId="14" fillId="11" borderId="18" xfId="0" applyFont="1" applyFill="1" applyBorder="1" applyAlignment="1" applyProtection="1">
      <alignment horizontal="center" vertical="center" wrapText="1"/>
    </xf>
    <xf numFmtId="0" fontId="10" fillId="11" borderId="23" xfId="0" applyFont="1" applyFill="1" applyBorder="1" applyAlignment="1" applyProtection="1">
      <alignment horizontal="center" vertical="center"/>
    </xf>
    <xf numFmtId="0" fontId="10" fillId="11" borderId="24" xfId="0" applyFont="1" applyFill="1" applyBorder="1" applyAlignment="1" applyProtection="1">
      <alignment horizontal="center" vertical="center"/>
    </xf>
    <xf numFmtId="165" fontId="10" fillId="11" borderId="24" xfId="1" applyNumberFormat="1" applyFont="1" applyFill="1" applyBorder="1" applyAlignment="1" applyProtection="1">
      <alignment horizontal="center" vertical="center"/>
    </xf>
    <xf numFmtId="0" fontId="10" fillId="11" borderId="25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left" vertical="top"/>
    </xf>
    <xf numFmtId="0" fontId="10" fillId="10" borderId="22" xfId="0" applyFont="1" applyFill="1" applyBorder="1" applyAlignment="1" applyProtection="1">
      <alignment horizontal="left" vertical="top"/>
    </xf>
    <xf numFmtId="0" fontId="10" fillId="10" borderId="27" xfId="0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/>
    </xf>
    <xf numFmtId="43" fontId="12" fillId="0" borderId="0" xfId="1" applyNumberFormat="1" applyFont="1" applyAlignment="1" applyProtection="1">
      <alignment horizontal="center" vertical="center"/>
    </xf>
    <xf numFmtId="43" fontId="12" fillId="0" borderId="0" xfId="1" applyNumberFormat="1" applyFont="1" applyAlignment="1" applyProtection="1">
      <alignment vertical="center"/>
    </xf>
    <xf numFmtId="165" fontId="12" fillId="0" borderId="0" xfId="1" applyNumberFormat="1" applyFont="1" applyAlignment="1" applyProtection="1">
      <alignment vertical="center"/>
    </xf>
    <xf numFmtId="0" fontId="12" fillId="6" borderId="28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right" vertical="top" wrapText="1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center" vertical="top"/>
    </xf>
    <xf numFmtId="164" fontId="12" fillId="6" borderId="21" xfId="0" applyNumberFormat="1" applyFont="1" applyFill="1" applyBorder="1" applyAlignment="1" applyProtection="1">
      <alignment horizontal="right" vertical="top"/>
    </xf>
    <xf numFmtId="4" fontId="12" fillId="6" borderId="21" xfId="0" applyNumberFormat="1" applyFont="1" applyFill="1" applyBorder="1" applyAlignment="1" applyProtection="1">
      <alignment horizontal="right" vertical="top"/>
    </xf>
    <xf numFmtId="4" fontId="12" fillId="6" borderId="29" xfId="0" applyNumberFormat="1" applyFont="1" applyFill="1" applyBorder="1" applyAlignment="1" applyProtection="1">
      <alignment horizontal="right" vertical="top"/>
    </xf>
    <xf numFmtId="0" fontId="12" fillId="6" borderId="0" xfId="0" applyFont="1" applyFill="1" applyBorder="1" applyAlignment="1" applyProtection="1">
      <alignment horizontal="left" vertical="top"/>
    </xf>
    <xf numFmtId="0" fontId="12" fillId="6" borderId="0" xfId="0" applyFont="1" applyFill="1" applyBorder="1" applyAlignment="1" applyProtection="1">
      <alignment horizontal="right" vertical="top" wrapText="1"/>
    </xf>
    <xf numFmtId="0" fontId="12" fillId="6" borderId="0" xfId="0" applyFont="1" applyFill="1" applyBorder="1" applyAlignment="1" applyProtection="1">
      <alignment horizontal="center" vertical="top"/>
    </xf>
    <xf numFmtId="164" fontId="12" fillId="6" borderId="0" xfId="0" applyNumberFormat="1" applyFont="1" applyFill="1" applyBorder="1" applyAlignment="1" applyProtection="1">
      <alignment horizontal="right" vertical="top"/>
    </xf>
    <xf numFmtId="4" fontId="12" fillId="6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right" vertical="top" wrapText="1"/>
    </xf>
    <xf numFmtId="4" fontId="11" fillId="0" borderId="0" xfId="0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 applyProtection="1">
      <alignment horizontal="center"/>
    </xf>
    <xf numFmtId="166" fontId="0" fillId="0" borderId="0" xfId="0" applyNumberFormat="1" applyProtection="1"/>
    <xf numFmtId="43" fontId="0" fillId="0" borderId="0" xfId="1" applyNumberFormat="1" applyFont="1" applyProtection="1"/>
    <xf numFmtId="0" fontId="16" fillId="12" borderId="0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0" fillId="0" borderId="15" xfId="3" applyFont="1" applyBorder="1" applyAlignment="1" applyProtection="1">
      <alignment horizontal="center" vertical="center"/>
    </xf>
    <xf numFmtId="0" fontId="23" fillId="0" borderId="0" xfId="3" applyNumberFormat="1" applyFont="1" applyFill="1" applyBorder="1" applyAlignment="1" applyProtection="1">
      <alignment vertical="center" wrapText="1"/>
      <protection locked="0"/>
    </xf>
    <xf numFmtId="0" fontId="14" fillId="0" borderId="0" xfId="3" applyNumberFormat="1" applyFont="1" applyFill="1" applyBorder="1" applyAlignment="1" applyProtection="1">
      <alignment vertical="center" wrapText="1"/>
      <protection locked="0"/>
    </xf>
    <xf numFmtId="10" fontId="19" fillId="0" borderId="0" xfId="0" applyNumberFormat="1" applyFont="1" applyAlignment="1">
      <alignment vertical="center"/>
    </xf>
    <xf numFmtId="10" fontId="19" fillId="10" borderId="0" xfId="2" applyNumberFormat="1" applyFont="1" applyFill="1" applyAlignment="1">
      <alignment horizontal="right" vertical="center" wrapText="1"/>
    </xf>
    <xf numFmtId="0" fontId="32" fillId="0" borderId="0" xfId="0" applyFont="1" applyFill="1" applyBorder="1" applyAlignment="1" applyProtection="1">
      <alignment vertical="center"/>
    </xf>
    <xf numFmtId="10" fontId="19" fillId="0" borderId="0" xfId="0" applyNumberFormat="1" applyFont="1" applyFill="1" applyBorder="1" applyAlignment="1" applyProtection="1">
      <alignment vertical="center"/>
    </xf>
    <xf numFmtId="10" fontId="19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justify" vertical="center"/>
    </xf>
    <xf numFmtId="10" fontId="34" fillId="0" borderId="0" xfId="3" applyNumberFormat="1" applyFont="1" applyFill="1" applyBorder="1" applyAlignment="1" applyProtection="1">
      <alignment horizontal="justify" vertical="center"/>
    </xf>
    <xf numFmtId="0" fontId="0" fillId="0" borderId="0" xfId="0"/>
    <xf numFmtId="0" fontId="3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0" fontId="19" fillId="0" borderId="0" xfId="2" applyNumberFormat="1" applyFont="1" applyAlignment="1" applyProtection="1">
      <alignment vertical="center"/>
    </xf>
    <xf numFmtId="43" fontId="0" fillId="0" borderId="0" xfId="1" applyNumberFormat="1" applyFont="1" applyAlignment="1" applyProtection="1">
      <alignment vertical="center"/>
    </xf>
    <xf numFmtId="0" fontId="4" fillId="11" borderId="18" xfId="0" applyFont="1" applyFill="1" applyBorder="1" applyAlignment="1" applyProtection="1">
      <alignment horizontal="center" vertical="center" wrapText="1"/>
    </xf>
    <xf numFmtId="0" fontId="6" fillId="11" borderId="18" xfId="0" applyFont="1" applyFill="1" applyBorder="1" applyAlignment="1" applyProtection="1">
      <alignment horizontal="center" vertical="center" wrapText="1"/>
    </xf>
    <xf numFmtId="0" fontId="5" fillId="11" borderId="18" xfId="0" applyFont="1" applyFill="1" applyBorder="1" applyAlignment="1" applyProtection="1">
      <alignment horizontal="center" vertical="center" wrapText="1"/>
    </xf>
    <xf numFmtId="43" fontId="6" fillId="11" borderId="18" xfId="1" applyNumberFormat="1" applyFont="1" applyFill="1" applyBorder="1" applyAlignment="1" applyProtection="1">
      <alignment horizontal="center" vertical="center" wrapText="1"/>
    </xf>
    <xf numFmtId="43" fontId="3" fillId="11" borderId="18" xfId="1" applyNumberFormat="1" applyFont="1" applyFill="1" applyBorder="1" applyAlignment="1" applyProtection="1">
      <alignment horizontal="center" vertical="center" wrapText="1"/>
    </xf>
    <xf numFmtId="0" fontId="3" fillId="11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43" fontId="6" fillId="4" borderId="0" xfId="1" applyNumberFormat="1" applyFont="1" applyFill="1" applyBorder="1" applyAlignment="1" applyProtection="1">
      <alignment horizontal="right" vertical="top" wrapText="1"/>
    </xf>
    <xf numFmtId="0" fontId="7" fillId="19" borderId="18" xfId="0" applyFont="1" applyFill="1" applyBorder="1" applyAlignment="1" applyProtection="1">
      <alignment horizontal="left" vertical="center" wrapText="1"/>
    </xf>
    <xf numFmtId="43" fontId="8" fillId="19" borderId="18" xfId="1" applyNumberFormat="1" applyFont="1" applyFill="1" applyBorder="1" applyAlignment="1" applyProtection="1">
      <alignment horizontal="right" vertical="center" wrapText="1"/>
    </xf>
    <xf numFmtId="43" fontId="7" fillId="19" borderId="18" xfId="1" applyNumberFormat="1" applyFont="1" applyFill="1" applyBorder="1" applyAlignment="1" applyProtection="1">
      <alignment horizontal="left" vertical="center" wrapText="1"/>
    </xf>
    <xf numFmtId="43" fontId="9" fillId="19" borderId="18" xfId="1" applyNumberFormat="1" applyFont="1" applyFill="1" applyBorder="1" applyAlignment="1" applyProtection="1">
      <alignment horizontal="right" vertical="center" wrapText="1"/>
    </xf>
    <xf numFmtId="10" fontId="9" fillId="19" borderId="18" xfId="2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vertical="center"/>
    </xf>
    <xf numFmtId="0" fontId="14" fillId="0" borderId="0" xfId="3" applyNumberFormat="1" applyFont="1" applyFill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23" fillId="0" borderId="0" xfId="3" applyNumberFormat="1" applyFont="1" applyFill="1" applyBorder="1" applyAlignment="1" applyProtection="1">
      <alignment vertical="center" wrapText="1"/>
    </xf>
    <xf numFmtId="0" fontId="17" fillId="0" borderId="0" xfId="3" applyFont="1" applyFill="1" applyBorder="1" applyAlignment="1" applyProtection="1">
      <alignment vertical="center"/>
    </xf>
    <xf numFmtId="0" fontId="11" fillId="8" borderId="18" xfId="0" applyFont="1" applyFill="1" applyBorder="1" applyAlignment="1" applyProtection="1">
      <alignment horizontal="left" vertical="center" wrapText="1"/>
    </xf>
    <xf numFmtId="0" fontId="11" fillId="8" borderId="18" xfId="0" applyFont="1" applyFill="1" applyBorder="1" applyAlignment="1" applyProtection="1">
      <alignment horizontal="center" vertical="center" wrapText="1"/>
    </xf>
    <xf numFmtId="43" fontId="11" fillId="8" borderId="18" xfId="1" applyNumberFormat="1" applyFont="1" applyFill="1" applyBorder="1" applyAlignment="1" applyProtection="1">
      <alignment horizontal="right" vertical="center" wrapText="1"/>
    </xf>
    <xf numFmtId="10" fontId="11" fillId="8" borderId="18" xfId="2" applyNumberFormat="1" applyFont="1" applyFill="1" applyBorder="1" applyAlignment="1" applyProtection="1">
      <alignment horizontal="right" vertical="center" wrapText="1"/>
    </xf>
    <xf numFmtId="0" fontId="35" fillId="19" borderId="18" xfId="0" applyFont="1" applyFill="1" applyBorder="1" applyAlignment="1" applyProtection="1">
      <alignment horizontal="left" vertical="center" wrapText="1"/>
    </xf>
    <xf numFmtId="0" fontId="15" fillId="0" borderId="0" xfId="3" applyFont="1" applyFill="1" applyBorder="1" applyAlignment="1" applyProtection="1">
      <alignment horizontal="justify" vertical="center"/>
    </xf>
    <xf numFmtId="10" fontId="15" fillId="0" borderId="0" xfId="3" applyNumberFormat="1" applyFont="1" applyFill="1" applyBorder="1" applyAlignment="1" applyProtection="1">
      <alignment horizontal="justify" vertical="center"/>
    </xf>
    <xf numFmtId="0" fontId="15" fillId="0" borderId="0" xfId="3" applyFont="1" applyFill="1" applyAlignment="1" applyProtection="1">
      <alignment horizontal="justify" vertical="center"/>
    </xf>
    <xf numFmtId="10" fontId="15" fillId="0" borderId="0" xfId="3" applyNumberFormat="1" applyFont="1" applyFill="1" applyAlignment="1" applyProtection="1">
      <alignment horizontal="justify" vertical="center"/>
    </xf>
    <xf numFmtId="10" fontId="12" fillId="6" borderId="18" xfId="2" applyNumberFormat="1" applyFont="1" applyFill="1" applyBorder="1" applyAlignment="1">
      <alignment horizontal="right" vertical="center" wrapText="1"/>
    </xf>
    <xf numFmtId="0" fontId="7" fillId="7" borderId="18" xfId="0" applyFont="1" applyFill="1" applyBorder="1" applyAlignment="1">
      <alignment horizontal="left" vertical="center" wrapText="1"/>
    </xf>
    <xf numFmtId="4" fontId="7" fillId="7" borderId="18" xfId="0" applyNumberFormat="1" applyFont="1" applyFill="1" applyBorder="1" applyAlignment="1">
      <alignment horizontal="righ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right" vertical="center" wrapText="1"/>
    </xf>
    <xf numFmtId="43" fontId="7" fillId="7" borderId="18" xfId="1" applyNumberFormat="1" applyFont="1" applyFill="1" applyBorder="1" applyAlignment="1">
      <alignment horizontal="right" vertical="center" wrapText="1"/>
    </xf>
    <xf numFmtId="43" fontId="11" fillId="8" borderId="18" xfId="1" applyNumberFormat="1" applyFont="1" applyFill="1" applyBorder="1" applyAlignment="1">
      <alignment horizontal="right" vertical="center" wrapText="1"/>
    </xf>
    <xf numFmtId="43" fontId="10" fillId="11" borderId="18" xfId="1" applyNumberFormat="1" applyFont="1" applyFill="1" applyBorder="1" applyAlignment="1">
      <alignment horizontal="center" vertical="center" wrapText="1"/>
    </xf>
    <xf numFmtId="43" fontId="0" fillId="0" borderId="0" xfId="1" applyNumberFormat="1" applyFont="1" applyAlignment="1">
      <alignment horizontal="center"/>
    </xf>
    <xf numFmtId="10" fontId="0" fillId="0" borderId="0" xfId="2" applyNumberFormat="1" applyFont="1" applyAlignment="1" applyProtection="1">
      <alignment vertical="center"/>
    </xf>
    <xf numFmtId="10" fontId="6" fillId="11" borderId="18" xfId="2" applyNumberFormat="1" applyFont="1" applyFill="1" applyBorder="1" applyAlignment="1" applyProtection="1">
      <alignment horizontal="center" vertical="center" wrapText="1"/>
    </xf>
    <xf numFmtId="10" fontId="6" fillId="4" borderId="0" xfId="2" applyNumberFormat="1" applyFont="1" applyFill="1" applyBorder="1" applyAlignment="1" applyProtection="1">
      <alignment horizontal="right" vertical="top" wrapText="1"/>
    </xf>
    <xf numFmtId="10" fontId="0" fillId="0" borderId="0" xfId="2" applyNumberFormat="1" applyFont="1" applyProtection="1"/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/>
    <xf numFmtId="43" fontId="12" fillId="14" borderId="18" xfId="1" applyNumberFormat="1" applyFont="1" applyFill="1" applyBorder="1" applyAlignment="1" applyProtection="1">
      <alignment horizontal="right" vertical="center" wrapText="1"/>
      <protection locked="0"/>
    </xf>
    <xf numFmtId="0" fontId="11" fillId="8" borderId="30" xfId="0" applyFont="1" applyFill="1" applyBorder="1" applyAlignment="1" applyProtection="1">
      <alignment horizontal="left" vertical="top"/>
    </xf>
    <xf numFmtId="0" fontId="11" fillId="8" borderId="0" xfId="0" applyFont="1" applyFill="1" applyBorder="1" applyAlignment="1" applyProtection="1">
      <alignment horizontal="right" vertical="top"/>
    </xf>
    <xf numFmtId="0" fontId="11" fillId="8" borderId="0" xfId="0" applyFont="1" applyFill="1" applyBorder="1" applyAlignment="1" applyProtection="1">
      <alignment horizontal="left" vertical="top"/>
    </xf>
    <xf numFmtId="0" fontId="11" fillId="8" borderId="0" xfId="0" applyFont="1" applyFill="1" applyBorder="1" applyAlignment="1" applyProtection="1">
      <alignment horizontal="center" vertical="top"/>
    </xf>
    <xf numFmtId="164" fontId="11" fillId="8" borderId="0" xfId="0" applyNumberFormat="1" applyFont="1" applyFill="1" applyBorder="1" applyAlignment="1" applyProtection="1">
      <alignment horizontal="right" vertical="top"/>
    </xf>
    <xf numFmtId="4" fontId="11" fillId="8" borderId="0" xfId="0" applyNumberFormat="1" applyFont="1" applyFill="1" applyBorder="1" applyAlignment="1" applyProtection="1">
      <alignment horizontal="right" vertical="top"/>
    </xf>
    <xf numFmtId="4" fontId="11" fillId="8" borderId="31" xfId="0" applyNumberFormat="1" applyFont="1" applyFill="1" applyBorder="1" applyAlignment="1" applyProtection="1">
      <alignment horizontal="right" vertical="top"/>
    </xf>
    <xf numFmtId="0" fontId="12" fillId="5" borderId="30" xfId="0" applyFont="1" applyFill="1" applyBorder="1" applyAlignment="1" applyProtection="1">
      <alignment horizontal="left" vertical="top"/>
    </xf>
    <xf numFmtId="0" fontId="12" fillId="5" borderId="0" xfId="0" applyFont="1" applyFill="1" applyBorder="1" applyAlignment="1" applyProtection="1">
      <alignment horizontal="right" vertical="top"/>
    </xf>
    <xf numFmtId="0" fontId="12" fillId="5" borderId="0" xfId="0" applyFont="1" applyFill="1" applyBorder="1" applyAlignment="1" applyProtection="1">
      <alignment horizontal="left" vertical="top"/>
    </xf>
    <xf numFmtId="0" fontId="12" fillId="5" borderId="0" xfId="0" applyFont="1" applyFill="1" applyBorder="1" applyAlignment="1" applyProtection="1">
      <alignment horizontal="center" vertical="top"/>
    </xf>
    <xf numFmtId="164" fontId="12" fillId="5" borderId="0" xfId="0" applyNumberFormat="1" applyFont="1" applyFill="1" applyBorder="1" applyAlignment="1" applyProtection="1">
      <alignment horizontal="right" vertical="top"/>
    </xf>
    <xf numFmtId="4" fontId="12" fillId="5" borderId="0" xfId="0" applyNumberFormat="1" applyFont="1" applyFill="1" applyBorder="1" applyAlignment="1" applyProtection="1">
      <alignment horizontal="right" vertical="top"/>
    </xf>
    <xf numFmtId="4" fontId="12" fillId="5" borderId="31" xfId="0" applyNumberFormat="1" applyFont="1" applyFill="1" applyBorder="1" applyAlignment="1" applyProtection="1">
      <alignment horizontal="right" vertical="top"/>
    </xf>
    <xf numFmtId="0" fontId="3" fillId="10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right" vertical="top" wrapText="1"/>
    </xf>
    <xf numFmtId="0" fontId="11" fillId="8" borderId="2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right" vertical="top" wrapText="1"/>
    </xf>
    <xf numFmtId="4" fontId="11" fillId="8" borderId="2" xfId="0" applyNumberFormat="1" applyFont="1" applyFill="1" applyBorder="1" applyAlignment="1">
      <alignment horizontal="right" vertical="top" wrapText="1"/>
    </xf>
    <xf numFmtId="164" fontId="11" fillId="8" borderId="2" xfId="0" applyNumberFormat="1" applyFont="1" applyFill="1" applyBorder="1" applyAlignment="1">
      <alignment horizontal="right" vertical="top" wrapText="1"/>
    </xf>
    <xf numFmtId="0" fontId="11" fillId="8" borderId="1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right" vertical="top" wrapText="1"/>
    </xf>
    <xf numFmtId="4" fontId="12" fillId="5" borderId="2" xfId="0" applyNumberFormat="1" applyFont="1" applyFill="1" applyBorder="1" applyAlignment="1">
      <alignment horizontal="right" vertical="top" wrapText="1"/>
    </xf>
    <xf numFmtId="164" fontId="12" fillId="5" borderId="2" xfId="0" applyNumberFormat="1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right" vertical="top" wrapText="1"/>
    </xf>
    <xf numFmtId="4" fontId="12" fillId="6" borderId="2" xfId="0" applyNumberFormat="1" applyFont="1" applyFill="1" applyBorder="1" applyAlignment="1">
      <alignment horizontal="right" vertical="top" wrapText="1"/>
    </xf>
    <xf numFmtId="164" fontId="12" fillId="6" borderId="2" xfId="0" applyNumberFormat="1" applyFont="1" applyFill="1" applyBorder="1" applyAlignment="1">
      <alignment horizontal="right" vertical="top" wrapText="1"/>
    </xf>
    <xf numFmtId="4" fontId="12" fillId="10" borderId="0" xfId="0" applyNumberFormat="1" applyFont="1" applyFill="1" applyAlignment="1">
      <alignment horizontal="right" vertical="top" wrapText="1"/>
    </xf>
    <xf numFmtId="170" fontId="7" fillId="7" borderId="18" xfId="0" applyNumberFormat="1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10" borderId="0" xfId="0" applyFont="1" applyFill="1" applyAlignment="1">
      <alignment horizontal="right" vertical="top" wrapText="1"/>
    </xf>
    <xf numFmtId="0" fontId="12" fillId="5" borderId="18" xfId="0" applyFont="1" applyFill="1" applyBorder="1" applyAlignment="1">
      <alignment horizontal="right" vertical="top" wrapText="1"/>
    </xf>
    <xf numFmtId="0" fontId="12" fillId="5" borderId="18" xfId="0" applyFont="1" applyFill="1" applyBorder="1" applyAlignment="1">
      <alignment horizontal="left" vertical="top" wrapText="1"/>
    </xf>
    <xf numFmtId="0" fontId="12" fillId="5" borderId="18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right" vertical="top" wrapText="1"/>
    </xf>
    <xf numFmtId="0" fontId="12" fillId="6" borderId="18" xfId="0" applyFont="1" applyFill="1" applyBorder="1" applyAlignment="1">
      <alignment horizontal="left" vertical="top" wrapText="1"/>
    </xf>
    <xf numFmtId="0" fontId="12" fillId="6" borderId="18" xfId="0" applyFont="1" applyFill="1" applyBorder="1" applyAlignment="1">
      <alignment horizontal="center" vertical="top" wrapText="1"/>
    </xf>
    <xf numFmtId="0" fontId="11" fillId="9" borderId="18" xfId="0" applyFont="1" applyFill="1" applyBorder="1" applyAlignment="1">
      <alignment horizontal="right" vertical="top" wrapText="1"/>
    </xf>
    <xf numFmtId="0" fontId="11" fillId="9" borderId="18" xfId="0" applyFont="1" applyFill="1" applyBorder="1" applyAlignment="1">
      <alignment horizontal="left" vertical="top" wrapText="1"/>
    </xf>
    <xf numFmtId="0" fontId="11" fillId="9" borderId="18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righ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right" vertical="top" wrapText="1"/>
    </xf>
    <xf numFmtId="4" fontId="7" fillId="7" borderId="2" xfId="0" applyNumberFormat="1" applyFont="1" applyFill="1" applyBorder="1" applyAlignment="1">
      <alignment horizontal="right" vertical="top" wrapText="1"/>
    </xf>
    <xf numFmtId="0" fontId="11" fillId="8" borderId="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right" vertical="top" wrapText="1"/>
    </xf>
    <xf numFmtId="4" fontId="11" fillId="8" borderId="2" xfId="0" applyNumberFormat="1" applyFont="1" applyFill="1" applyBorder="1" applyAlignment="1">
      <alignment horizontal="right" vertical="top" wrapText="1"/>
    </xf>
    <xf numFmtId="164" fontId="11" fillId="8" borderId="2" xfId="0" applyNumberFormat="1" applyFont="1" applyFill="1" applyBorder="1" applyAlignment="1">
      <alignment horizontal="right" vertical="top" wrapText="1"/>
    </xf>
    <xf numFmtId="0" fontId="11" fillId="8" borderId="1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right" vertical="top" wrapText="1"/>
    </xf>
    <xf numFmtId="4" fontId="12" fillId="5" borderId="2" xfId="0" applyNumberFormat="1" applyFont="1" applyFill="1" applyBorder="1" applyAlignment="1">
      <alignment horizontal="right" vertical="top" wrapText="1"/>
    </xf>
    <xf numFmtId="164" fontId="12" fillId="5" borderId="2" xfId="0" applyNumberFormat="1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right" vertical="top" wrapText="1"/>
    </xf>
    <xf numFmtId="4" fontId="12" fillId="6" borderId="2" xfId="0" applyNumberFormat="1" applyFont="1" applyFill="1" applyBorder="1" applyAlignment="1">
      <alignment horizontal="right" vertical="top" wrapText="1"/>
    </xf>
    <xf numFmtId="164" fontId="12" fillId="6" borderId="2" xfId="0" applyNumberFormat="1" applyFont="1" applyFill="1" applyBorder="1" applyAlignment="1">
      <alignment horizontal="right" vertical="top" wrapText="1"/>
    </xf>
    <xf numFmtId="0" fontId="10" fillId="10" borderId="0" xfId="0" applyFont="1" applyFill="1" applyAlignment="1">
      <alignment horizontal="right" vertical="top" wrapText="1"/>
    </xf>
    <xf numFmtId="4" fontId="10" fillId="10" borderId="0" xfId="0" applyNumberFormat="1" applyFont="1" applyFill="1" applyAlignment="1">
      <alignment horizontal="right" vertical="top" wrapText="1"/>
    </xf>
    <xf numFmtId="164" fontId="10" fillId="10" borderId="0" xfId="0" applyNumberFormat="1" applyFont="1" applyFill="1" applyAlignment="1">
      <alignment horizontal="right" vertical="top" wrapText="1"/>
    </xf>
    <xf numFmtId="0" fontId="12" fillId="10" borderId="0" xfId="0" applyFont="1" applyFill="1" applyAlignment="1">
      <alignment horizontal="right" vertical="top" wrapText="1"/>
    </xf>
    <xf numFmtId="4" fontId="12" fillId="10" borderId="0" xfId="0" applyNumberFormat="1" applyFont="1" applyFill="1" applyAlignment="1">
      <alignment horizontal="right" vertical="top" wrapText="1"/>
    </xf>
    <xf numFmtId="0" fontId="15" fillId="12" borderId="0" xfId="3" applyFont="1" applyFill="1" applyAlignment="1" applyProtection="1">
      <alignment horizontal="center"/>
    </xf>
    <xf numFmtId="0" fontId="19" fillId="0" borderId="0" xfId="3" applyFont="1" applyFill="1" applyBorder="1" applyAlignment="1" applyProtection="1">
      <alignment horizontal="justify" vertical="center" wrapText="1"/>
    </xf>
    <xf numFmtId="0" fontId="16" fillId="0" borderId="0" xfId="3" applyFont="1" applyFill="1" applyBorder="1" applyAlignment="1" applyProtection="1">
      <alignment horizontal="justify" vertical="center" wrapText="1"/>
    </xf>
    <xf numFmtId="0" fontId="17" fillId="12" borderId="0" xfId="3" applyFont="1" applyFill="1" applyBorder="1" applyAlignment="1" applyProtection="1">
      <alignment horizontal="center" vertical="center" wrapText="1"/>
    </xf>
    <xf numFmtId="0" fontId="17" fillId="12" borderId="0" xfId="3" applyFont="1" applyFill="1" applyBorder="1" applyAlignment="1" applyProtection="1">
      <alignment horizontal="center" vertical="center"/>
    </xf>
    <xf numFmtId="0" fontId="16" fillId="12" borderId="0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0" borderId="24" xfId="3" applyFont="1" applyBorder="1" applyAlignment="1" applyProtection="1">
      <alignment horizontal="left" vertical="top" wrapText="1"/>
    </xf>
    <xf numFmtId="44" fontId="26" fillId="20" borderId="23" xfId="5" applyFont="1" applyFill="1" applyBorder="1" applyAlignment="1" applyProtection="1">
      <alignment horizontal="center" vertical="center" wrapText="1"/>
    </xf>
    <xf numFmtId="44" fontId="26" fillId="20" borderId="25" xfId="5" applyFont="1" applyFill="1" applyBorder="1" applyAlignment="1" applyProtection="1">
      <alignment horizontal="center" vertical="center" wrapText="1"/>
    </xf>
    <xf numFmtId="0" fontId="32" fillId="20" borderId="23" xfId="3" applyFont="1" applyFill="1" applyBorder="1" applyAlignment="1" applyProtection="1">
      <alignment horizontal="center" vertical="center" wrapText="1"/>
    </xf>
    <xf numFmtId="0" fontId="32" fillId="20" borderId="24" xfId="3" applyFont="1" applyFill="1" applyBorder="1" applyAlignment="1" applyProtection="1">
      <alignment horizontal="center" vertical="center" wrapText="1"/>
    </xf>
    <xf numFmtId="0" fontId="32" fillId="20" borderId="25" xfId="3" applyFont="1" applyFill="1" applyBorder="1" applyAlignment="1" applyProtection="1">
      <alignment horizontal="center" vertical="center" wrapText="1"/>
    </xf>
    <xf numFmtId="167" fontId="14" fillId="21" borderId="23" xfId="4" applyNumberFormat="1" applyFont="1" applyFill="1" applyBorder="1" applyAlignment="1" applyProtection="1">
      <alignment horizontal="center" vertical="center" wrapText="1"/>
      <protection locked="0"/>
    </xf>
    <xf numFmtId="167" fontId="14" fillId="21" borderId="25" xfId="4" applyNumberFormat="1" applyFont="1" applyFill="1" applyBorder="1" applyAlignment="1" applyProtection="1">
      <alignment horizontal="center" vertical="center" wrapText="1"/>
      <protection locked="0"/>
    </xf>
    <xf numFmtId="0" fontId="14" fillId="20" borderId="23" xfId="3" applyFont="1" applyFill="1" applyBorder="1" applyAlignment="1" applyProtection="1">
      <alignment horizontal="center" vertical="center" wrapText="1"/>
    </xf>
    <xf numFmtId="0" fontId="14" fillId="20" borderId="24" xfId="3" applyFont="1" applyFill="1" applyBorder="1" applyAlignment="1" applyProtection="1">
      <alignment horizontal="center" vertical="center" wrapText="1"/>
    </xf>
    <xf numFmtId="0" fontId="14" fillId="20" borderId="25" xfId="3" applyFont="1" applyFill="1" applyBorder="1" applyAlignment="1" applyProtection="1">
      <alignment horizontal="center" vertical="center" wrapText="1"/>
    </xf>
    <xf numFmtId="44" fontId="17" fillId="20" borderId="23" xfId="5" applyFont="1" applyFill="1" applyBorder="1" applyAlignment="1" applyProtection="1">
      <alignment horizontal="center" vertical="center" wrapText="1"/>
    </xf>
    <xf numFmtId="44" fontId="17" fillId="20" borderId="25" xfId="5" applyFont="1" applyFill="1" applyBorder="1" applyAlignment="1" applyProtection="1">
      <alignment horizontal="center" vertical="center" wrapText="1"/>
    </xf>
    <xf numFmtId="0" fontId="17" fillId="20" borderId="23" xfId="3" applyFont="1" applyFill="1" applyBorder="1" applyAlignment="1" applyProtection="1">
      <alignment horizontal="center" vertical="center" wrapText="1"/>
    </xf>
    <xf numFmtId="0" fontId="17" fillId="20" borderId="24" xfId="3" applyFont="1" applyFill="1" applyBorder="1" applyAlignment="1" applyProtection="1">
      <alignment horizontal="center" vertical="center" wrapText="1"/>
    </xf>
    <xf numFmtId="0" fontId="17" fillId="20" borderId="25" xfId="3" applyFont="1" applyFill="1" applyBorder="1" applyAlignment="1" applyProtection="1">
      <alignment horizontal="center" vertical="center" wrapText="1"/>
    </xf>
    <xf numFmtId="0" fontId="36" fillId="0" borderId="0" xfId="3" applyFont="1" applyBorder="1" applyAlignment="1" applyProtection="1">
      <alignment horizontal="left" vertical="center" wrapText="1"/>
    </xf>
    <xf numFmtId="0" fontId="16" fillId="0" borderId="0" xfId="3" applyFont="1" applyBorder="1" applyAlignment="1" applyProtection="1">
      <alignment horizontal="left" vertical="top" wrapText="1"/>
    </xf>
    <xf numFmtId="167" fontId="17" fillId="20" borderId="18" xfId="4" applyNumberFormat="1" applyFont="1" applyFill="1" applyBorder="1" applyAlignment="1" applyProtection="1">
      <alignment horizontal="center" vertical="center" wrapText="1"/>
    </xf>
    <xf numFmtId="0" fontId="17" fillId="20" borderId="18" xfId="3" applyFont="1" applyFill="1" applyBorder="1" applyAlignment="1" applyProtection="1">
      <alignment horizontal="center" vertical="center" wrapText="1"/>
    </xf>
    <xf numFmtId="0" fontId="10" fillId="11" borderId="22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10" borderId="0" xfId="0" applyFont="1" applyFill="1" applyAlignment="1">
      <alignment horizontal="right" vertical="top" wrapText="1"/>
    </xf>
    <xf numFmtId="167" fontId="12" fillId="0" borderId="0" xfId="2" applyNumberFormat="1" applyFont="1" applyBorder="1" applyAlignment="1">
      <alignment horizontal="center"/>
    </xf>
    <xf numFmtId="0" fontId="10" fillId="11" borderId="0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4" fillId="11" borderId="18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0" xfId="0" applyFont="1" applyFill="1" applyBorder="1" applyAlignment="1" applyProtection="1">
      <alignment horizontal="left" vertical="top"/>
    </xf>
    <xf numFmtId="167" fontId="12" fillId="0" borderId="0" xfId="2" applyNumberFormat="1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14" fillId="11" borderId="18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32" fillId="0" borderId="21" xfId="0" applyFont="1" applyBorder="1" applyAlignment="1" applyProtection="1">
      <alignment horizontal="center"/>
    </xf>
    <xf numFmtId="0" fontId="3" fillId="10" borderId="3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12" borderId="0" xfId="3" applyFont="1" applyFill="1" applyAlignment="1" applyProtection="1">
      <alignment horizontal="center"/>
      <protection locked="0"/>
    </xf>
    <xf numFmtId="0" fontId="16" fillId="12" borderId="0" xfId="3" applyFont="1" applyFill="1" applyBorder="1" applyAlignment="1" applyProtection="1">
      <alignment horizontal="center" vertical="center"/>
      <protection locked="0"/>
    </xf>
    <xf numFmtId="0" fontId="14" fillId="12" borderId="0" xfId="3" applyFont="1" applyFill="1" applyBorder="1" applyAlignment="1" applyProtection="1">
      <alignment horizontal="center" vertical="center" wrapText="1"/>
    </xf>
    <xf numFmtId="0" fontId="16" fillId="13" borderId="4" xfId="3" applyFont="1" applyFill="1" applyBorder="1" applyAlignment="1" applyProtection="1">
      <alignment horizontal="center" vertical="center"/>
    </xf>
    <xf numFmtId="0" fontId="16" fillId="13" borderId="5" xfId="3" applyFont="1" applyFill="1" applyBorder="1" applyAlignment="1" applyProtection="1">
      <alignment horizontal="center" vertical="center"/>
    </xf>
    <xf numFmtId="0" fontId="16" fillId="0" borderId="7" xfId="3" applyFont="1" applyBorder="1" applyAlignment="1" applyProtection="1">
      <alignment horizontal="center" vertical="center"/>
    </xf>
    <xf numFmtId="0" fontId="16" fillId="0" borderId="10" xfId="3" applyFont="1" applyBorder="1" applyAlignment="1" applyProtection="1">
      <alignment horizontal="center" vertical="center"/>
    </xf>
    <xf numFmtId="0" fontId="15" fillId="0" borderId="3" xfId="3" applyFont="1" applyFill="1" applyBorder="1" applyAlignment="1" applyProtection="1">
      <alignment horizontal="center"/>
    </xf>
    <xf numFmtId="0" fontId="15" fillId="0" borderId="4" xfId="3" applyFont="1" applyFill="1" applyBorder="1" applyAlignment="1" applyProtection="1">
      <alignment horizontal="center"/>
    </xf>
    <xf numFmtId="0" fontId="15" fillId="0" borderId="5" xfId="3" applyFont="1" applyFill="1" applyBorder="1" applyAlignment="1" applyProtection="1">
      <alignment horizontal="center"/>
    </xf>
    <xf numFmtId="0" fontId="20" fillId="0" borderId="15" xfId="3" applyFont="1" applyBorder="1" applyAlignment="1" applyProtection="1">
      <alignment horizontal="center" vertical="center"/>
    </xf>
    <xf numFmtId="0" fontId="20" fillId="0" borderId="10" xfId="3" applyFont="1" applyBorder="1" applyAlignment="1" applyProtection="1">
      <alignment horizontal="center" vertical="center"/>
    </xf>
    <xf numFmtId="49" fontId="23" fillId="17" borderId="19" xfId="3" applyNumberFormat="1" applyFont="1" applyFill="1" applyBorder="1" applyAlignment="1" applyProtection="1">
      <alignment horizontal="center" vertical="center"/>
    </xf>
    <xf numFmtId="49" fontId="23" fillId="17" borderId="18" xfId="3" applyNumberFormat="1" applyFont="1" applyFill="1" applyBorder="1" applyAlignment="1" applyProtection="1">
      <alignment horizontal="center" vertical="center"/>
    </xf>
    <xf numFmtId="0" fontId="23" fillId="17" borderId="19" xfId="3" applyFont="1" applyFill="1" applyBorder="1" applyAlignment="1" applyProtection="1">
      <alignment horizontal="left" vertical="center" wrapText="1"/>
    </xf>
    <xf numFmtId="0" fontId="23" fillId="17" borderId="18" xfId="3" applyFont="1" applyFill="1" applyBorder="1" applyAlignment="1" applyProtection="1">
      <alignment horizontal="left" vertical="center" wrapText="1"/>
    </xf>
    <xf numFmtId="169" fontId="17" fillId="18" borderId="19" xfId="5" applyNumberFormat="1" applyFont="1" applyFill="1" applyBorder="1" applyAlignment="1" applyProtection="1">
      <alignment horizontal="center" vertical="center"/>
    </xf>
    <xf numFmtId="169" fontId="17" fillId="18" borderId="18" xfId="5" applyNumberFormat="1" applyFont="1" applyFill="1" applyBorder="1" applyAlignment="1" applyProtection="1">
      <alignment horizontal="center" vertical="center"/>
    </xf>
    <xf numFmtId="49" fontId="23" fillId="0" borderId="0" xfId="3" applyNumberFormat="1" applyFont="1" applyFill="1" applyBorder="1" applyAlignment="1" applyProtection="1">
      <alignment horizontal="center" vertical="center"/>
    </xf>
    <xf numFmtId="39" fontId="17" fillId="18" borderId="18" xfId="3" applyNumberFormat="1" applyFont="1" applyFill="1" applyBorder="1" applyAlignment="1" applyProtection="1">
      <alignment horizontal="center" vertical="center"/>
    </xf>
    <xf numFmtId="0" fontId="2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" applyNumberFormat="1" applyFont="1" applyFill="1" applyBorder="1" applyAlignment="1" applyProtection="1">
      <alignment horizontal="center" vertical="center" wrapText="1"/>
    </xf>
    <xf numFmtId="49" fontId="23" fillId="16" borderId="18" xfId="3" applyNumberFormat="1" applyFont="1" applyFill="1" applyBorder="1" applyAlignment="1" applyProtection="1">
      <alignment horizontal="center" vertical="center"/>
    </xf>
    <xf numFmtId="0" fontId="23" fillId="16" borderId="18" xfId="3" applyFont="1" applyFill="1" applyBorder="1" applyAlignment="1" applyProtection="1">
      <alignment horizontal="left" vertical="center" wrapText="1"/>
    </xf>
    <xf numFmtId="169" fontId="17" fillId="0" borderId="18" xfId="5" applyNumberFormat="1" applyFont="1" applyFill="1" applyBorder="1" applyAlignment="1" applyProtection="1">
      <alignment horizontal="center" vertical="center"/>
    </xf>
    <xf numFmtId="0" fontId="23" fillId="0" borderId="0" xfId="3" applyNumberFormat="1" applyFont="1" applyFill="1" applyBorder="1" applyAlignment="1" applyProtection="1">
      <alignment horizontal="center" vertical="center" wrapText="1"/>
    </xf>
    <xf numFmtId="0" fontId="16" fillId="25" borderId="18" xfId="9" applyFont="1" applyFill="1" applyBorder="1" applyAlignment="1" applyProtection="1">
      <alignment horizontal="center" vertical="top"/>
    </xf>
    <xf numFmtId="0" fontId="32" fillId="12" borderId="0" xfId="8" applyFont="1" applyFill="1" applyBorder="1" applyAlignment="1" applyProtection="1">
      <alignment horizontal="center" vertical="top"/>
    </xf>
    <xf numFmtId="0" fontId="12" fillId="0" borderId="21" xfId="9" applyFont="1" applyBorder="1" applyAlignment="1" applyProtection="1">
      <alignment horizontal="center" vertical="top"/>
    </xf>
    <xf numFmtId="0" fontId="10" fillId="11" borderId="18" xfId="9" applyFont="1" applyFill="1" applyBorder="1" applyAlignment="1" applyProtection="1">
      <alignment horizontal="center" vertical="center" wrapText="1"/>
    </xf>
    <xf numFmtId="0" fontId="10" fillId="11" borderId="18" xfId="9" applyFont="1" applyFill="1" applyBorder="1" applyAlignment="1" applyProtection="1">
      <alignment horizontal="center" vertical="top" wrapText="1"/>
    </xf>
    <xf numFmtId="0" fontId="10" fillId="25" borderId="18" xfId="9" applyFont="1" applyFill="1" applyBorder="1" applyAlignment="1" applyProtection="1">
      <alignment horizontal="center" vertical="top"/>
    </xf>
    <xf numFmtId="0" fontId="12" fillId="0" borderId="18" xfId="9" applyFont="1" applyBorder="1" applyAlignment="1" applyProtection="1">
      <alignment horizontal="center" vertical="top"/>
    </xf>
    <xf numFmtId="0" fontId="14" fillId="12" borderId="0" xfId="8" applyFont="1" applyFill="1" applyBorder="1" applyAlignment="1" applyProtection="1">
      <alignment horizontal="center" vertical="top"/>
    </xf>
    <xf numFmtId="0" fontId="31" fillId="12" borderId="0" xfId="8" applyFont="1" applyFill="1" applyAlignment="1" applyProtection="1">
      <alignment horizontal="center" vertical="top"/>
      <protection locked="0"/>
    </xf>
    <xf numFmtId="0" fontId="14" fillId="12" borderId="0" xfId="8" applyFont="1" applyFill="1" applyBorder="1" applyAlignment="1" applyProtection="1">
      <alignment horizontal="center" vertical="top"/>
      <protection locked="0"/>
    </xf>
    <xf numFmtId="0" fontId="14" fillId="12" borderId="0" xfId="8" applyFont="1" applyFill="1" applyBorder="1" applyAlignment="1" applyProtection="1">
      <alignment horizontal="center" vertical="top" wrapText="1"/>
    </xf>
  </cellXfs>
  <cellStyles count="11">
    <cellStyle name="Moeda 2" xfId="5" xr:uid="{00000000-0005-0000-0000-000000000000}"/>
    <cellStyle name="Normal" xfId="0" builtinId="0"/>
    <cellStyle name="Normal 2" xfId="3" xr:uid="{00000000-0005-0000-0000-000002000000}"/>
    <cellStyle name="Normal 2 3" xfId="8" xr:uid="{00000000-0005-0000-0000-000003000000}"/>
    <cellStyle name="Normal 3" xfId="9" xr:uid="{00000000-0005-0000-0000-000004000000}"/>
    <cellStyle name="Porcentagem" xfId="2" builtinId="5"/>
    <cellStyle name="Porcentagem 2" xfId="4" xr:uid="{00000000-0005-0000-0000-000006000000}"/>
    <cellStyle name="Porcentagem 3" xfId="6" xr:uid="{00000000-0005-0000-0000-000007000000}"/>
    <cellStyle name="Porcentagem 3 2" xfId="10" xr:uid="{00000000-0005-0000-0000-000008000000}"/>
    <cellStyle name="Vírgula" xfId="1" builtinId="3"/>
    <cellStyle name="Vírgula 2" xfId="7" xr:uid="{00000000-0005-0000-0000-00000A000000}"/>
  </cellStyles>
  <dxfs count="1">
    <dxf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76199</xdr:colOff>
      <xdr:row>0</xdr:row>
      <xdr:rowOff>85724</xdr:rowOff>
    </xdr:from>
    <xdr:to>
      <xdr:col>1</xdr:col>
      <xdr:colOff>111524</xdr:colOff>
      <xdr:row>2</xdr:row>
      <xdr:rowOff>172724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4"/>
          <a:ext cx="1778400" cy="468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2</xdr:col>
      <xdr:colOff>552449</xdr:colOff>
      <xdr:row>0</xdr:row>
      <xdr:rowOff>57150</xdr:rowOff>
    </xdr:from>
    <xdr:to>
      <xdr:col>4</xdr:col>
      <xdr:colOff>551814</xdr:colOff>
      <xdr:row>2</xdr:row>
      <xdr:rowOff>108150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49" y="57150"/>
          <a:ext cx="187579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59054</xdr:rowOff>
    </xdr:from>
    <xdr:to>
      <xdr:col>1</xdr:col>
      <xdr:colOff>1048143</xdr:colOff>
      <xdr:row>2</xdr:row>
      <xdr:rowOff>170624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4"/>
          <a:ext cx="1800618" cy="504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7</xdr:col>
      <xdr:colOff>1181100</xdr:colOff>
      <xdr:row>0</xdr:row>
      <xdr:rowOff>17145</xdr:rowOff>
    </xdr:from>
    <xdr:to>
      <xdr:col>9</xdr:col>
      <xdr:colOff>1162050</xdr:colOff>
      <xdr:row>2</xdr:row>
      <xdr:rowOff>188768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8575"/>
          <a:ext cx="2362200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57149</xdr:colOff>
      <xdr:row>0</xdr:row>
      <xdr:rowOff>59053</xdr:rowOff>
    </xdr:from>
    <xdr:to>
      <xdr:col>2</xdr:col>
      <xdr:colOff>169935</xdr:colOff>
      <xdr:row>2</xdr:row>
      <xdr:rowOff>170623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47623"/>
          <a:ext cx="1800616" cy="504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7</xdr:col>
      <xdr:colOff>586740</xdr:colOff>
      <xdr:row>0</xdr:row>
      <xdr:rowOff>38100</xdr:rowOff>
    </xdr:from>
    <xdr:to>
      <xdr:col>9</xdr:col>
      <xdr:colOff>1043940</xdr:colOff>
      <xdr:row>3</xdr:row>
      <xdr:rowOff>19223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38100"/>
          <a:ext cx="2362200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76199</xdr:colOff>
      <xdr:row>0</xdr:row>
      <xdr:rowOff>57148</xdr:rowOff>
    </xdr:from>
    <xdr:to>
      <xdr:col>2</xdr:col>
      <xdr:colOff>206133</xdr:colOff>
      <xdr:row>2</xdr:row>
      <xdr:rowOff>174433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7148"/>
          <a:ext cx="1800619" cy="504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7</xdr:col>
      <xdr:colOff>550545</xdr:colOff>
      <xdr:row>0</xdr:row>
      <xdr:rowOff>57150</xdr:rowOff>
    </xdr:from>
    <xdr:to>
      <xdr:col>9</xdr:col>
      <xdr:colOff>1006962</xdr:colOff>
      <xdr:row>3</xdr:row>
      <xdr:rowOff>18030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57150"/>
          <a:ext cx="227378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55244</xdr:colOff>
      <xdr:row>0</xdr:row>
      <xdr:rowOff>57150</xdr:rowOff>
    </xdr:from>
    <xdr:to>
      <xdr:col>1</xdr:col>
      <xdr:colOff>435774</xdr:colOff>
      <xdr:row>3</xdr:row>
      <xdr:rowOff>34290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5"/>
          <a:ext cx="1803565" cy="504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6</xdr:col>
      <xdr:colOff>1066800</xdr:colOff>
      <xdr:row>0</xdr:row>
      <xdr:rowOff>38100</xdr:rowOff>
    </xdr:from>
    <xdr:to>
      <xdr:col>8</xdr:col>
      <xdr:colOff>971923</xdr:colOff>
      <xdr:row>3</xdr:row>
      <xdr:rowOff>77085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38100"/>
          <a:ext cx="2276848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57151</xdr:colOff>
      <xdr:row>0</xdr:row>
      <xdr:rowOff>57150</xdr:rowOff>
    </xdr:from>
    <xdr:to>
      <xdr:col>0</xdr:col>
      <xdr:colOff>1660729</xdr:colOff>
      <xdr:row>2</xdr:row>
      <xdr:rowOff>162955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1620723" cy="432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1</xdr:col>
      <xdr:colOff>3784942</xdr:colOff>
      <xdr:row>0</xdr:row>
      <xdr:rowOff>20955</xdr:rowOff>
    </xdr:from>
    <xdr:to>
      <xdr:col>3</xdr:col>
      <xdr:colOff>1124339</xdr:colOff>
      <xdr:row>2</xdr:row>
      <xdr:rowOff>134380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3035" y="28575"/>
          <a:ext cx="186934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79620</xdr:colOff>
      <xdr:row>0</xdr:row>
      <xdr:rowOff>59143</xdr:rowOff>
    </xdr:from>
    <xdr:to>
      <xdr:col>1</xdr:col>
      <xdr:colOff>1735744</xdr:colOff>
      <xdr:row>3</xdr:row>
      <xdr:rowOff>93928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0" y="62953"/>
          <a:ext cx="2302255" cy="612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6</xdr:col>
      <xdr:colOff>56953</xdr:colOff>
      <xdr:row>0</xdr:row>
      <xdr:rowOff>53565</xdr:rowOff>
    </xdr:from>
    <xdr:to>
      <xdr:col>7</xdr:col>
      <xdr:colOff>1371161</xdr:colOff>
      <xdr:row>3</xdr:row>
      <xdr:rowOff>95970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919" y="45945"/>
          <a:ext cx="2683007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95250</xdr:rowOff>
    </xdr:from>
    <xdr:to>
      <xdr:col>1</xdr:col>
      <xdr:colOff>1089228</xdr:colOff>
      <xdr:row>2</xdr:row>
      <xdr:rowOff>132915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620723" cy="432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 editAs="absolute">
    <xdr:from>
      <xdr:col>3</xdr:col>
      <xdr:colOff>912934</xdr:colOff>
      <xdr:row>0</xdr:row>
      <xdr:rowOff>95250</xdr:rowOff>
    </xdr:from>
    <xdr:to>
      <xdr:col>5</xdr:col>
      <xdr:colOff>877274</xdr:colOff>
      <xdr:row>2</xdr:row>
      <xdr:rowOff>132915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359" y="85725"/>
          <a:ext cx="186934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"/>
  <dimension ref="A1:E27"/>
  <sheetViews>
    <sheetView showGridLines="0" view="pageBreakPreview" zoomScaleNormal="100" zoomScaleSheetLayoutView="100" workbookViewId="0">
      <selection activeCell="B21" sqref="B21:D21"/>
    </sheetView>
  </sheetViews>
  <sheetFormatPr defaultColWidth="7.8984375" defaultRowHeight="13.2" x14ac:dyDescent="0.25"/>
  <cols>
    <col min="1" max="1" width="22.8984375" style="2" customWidth="1"/>
    <col min="2" max="2" width="70.59765625" style="2" customWidth="1"/>
    <col min="3" max="3" width="9.5" style="2" customWidth="1"/>
    <col min="4" max="4" width="15.09765625" style="25" customWidth="1"/>
    <col min="5" max="256" width="7.8984375" style="2"/>
    <col min="257" max="257" width="22.8984375" style="2" customWidth="1"/>
    <col min="258" max="258" width="49.8984375" style="2" customWidth="1"/>
    <col min="259" max="259" width="9.5" style="2" customWidth="1"/>
    <col min="260" max="260" width="15.09765625" style="2" customWidth="1"/>
    <col min="261" max="512" width="7.8984375" style="2"/>
    <col min="513" max="513" width="22.8984375" style="2" customWidth="1"/>
    <col min="514" max="514" width="49.8984375" style="2" customWidth="1"/>
    <col min="515" max="515" width="9.5" style="2" customWidth="1"/>
    <col min="516" max="516" width="15.09765625" style="2" customWidth="1"/>
    <col min="517" max="768" width="7.8984375" style="2"/>
    <col min="769" max="769" width="22.8984375" style="2" customWidth="1"/>
    <col min="770" max="770" width="49.8984375" style="2" customWidth="1"/>
    <col min="771" max="771" width="9.5" style="2" customWidth="1"/>
    <col min="772" max="772" width="15.09765625" style="2" customWidth="1"/>
    <col min="773" max="1024" width="7.8984375" style="2"/>
    <col min="1025" max="1025" width="22.8984375" style="2" customWidth="1"/>
    <col min="1026" max="1026" width="49.8984375" style="2" customWidth="1"/>
    <col min="1027" max="1027" width="9.5" style="2" customWidth="1"/>
    <col min="1028" max="1028" width="15.09765625" style="2" customWidth="1"/>
    <col min="1029" max="1280" width="7.8984375" style="2"/>
    <col min="1281" max="1281" width="22.8984375" style="2" customWidth="1"/>
    <col min="1282" max="1282" width="49.8984375" style="2" customWidth="1"/>
    <col min="1283" max="1283" width="9.5" style="2" customWidth="1"/>
    <col min="1284" max="1284" width="15.09765625" style="2" customWidth="1"/>
    <col min="1285" max="1536" width="7.8984375" style="2"/>
    <col min="1537" max="1537" width="22.8984375" style="2" customWidth="1"/>
    <col min="1538" max="1538" width="49.8984375" style="2" customWidth="1"/>
    <col min="1539" max="1539" width="9.5" style="2" customWidth="1"/>
    <col min="1540" max="1540" width="15.09765625" style="2" customWidth="1"/>
    <col min="1541" max="1792" width="7.8984375" style="2"/>
    <col min="1793" max="1793" width="22.8984375" style="2" customWidth="1"/>
    <col min="1794" max="1794" width="49.8984375" style="2" customWidth="1"/>
    <col min="1795" max="1795" width="9.5" style="2" customWidth="1"/>
    <col min="1796" max="1796" width="15.09765625" style="2" customWidth="1"/>
    <col min="1797" max="2048" width="7.8984375" style="2"/>
    <col min="2049" max="2049" width="22.8984375" style="2" customWidth="1"/>
    <col min="2050" max="2050" width="49.8984375" style="2" customWidth="1"/>
    <col min="2051" max="2051" width="9.5" style="2" customWidth="1"/>
    <col min="2052" max="2052" width="15.09765625" style="2" customWidth="1"/>
    <col min="2053" max="2304" width="7.8984375" style="2"/>
    <col min="2305" max="2305" width="22.8984375" style="2" customWidth="1"/>
    <col min="2306" max="2306" width="49.8984375" style="2" customWidth="1"/>
    <col min="2307" max="2307" width="9.5" style="2" customWidth="1"/>
    <col min="2308" max="2308" width="15.09765625" style="2" customWidth="1"/>
    <col min="2309" max="2560" width="7.8984375" style="2"/>
    <col min="2561" max="2561" width="22.8984375" style="2" customWidth="1"/>
    <col min="2562" max="2562" width="49.8984375" style="2" customWidth="1"/>
    <col min="2563" max="2563" width="9.5" style="2" customWidth="1"/>
    <col min="2564" max="2564" width="15.09765625" style="2" customWidth="1"/>
    <col min="2565" max="2816" width="7.8984375" style="2"/>
    <col min="2817" max="2817" width="22.8984375" style="2" customWidth="1"/>
    <col min="2818" max="2818" width="49.8984375" style="2" customWidth="1"/>
    <col min="2819" max="2819" width="9.5" style="2" customWidth="1"/>
    <col min="2820" max="2820" width="15.09765625" style="2" customWidth="1"/>
    <col min="2821" max="3072" width="7.8984375" style="2"/>
    <col min="3073" max="3073" width="22.8984375" style="2" customWidth="1"/>
    <col min="3074" max="3074" width="49.8984375" style="2" customWidth="1"/>
    <col min="3075" max="3075" width="9.5" style="2" customWidth="1"/>
    <col min="3076" max="3076" width="15.09765625" style="2" customWidth="1"/>
    <col min="3077" max="3328" width="7.8984375" style="2"/>
    <col min="3329" max="3329" width="22.8984375" style="2" customWidth="1"/>
    <col min="3330" max="3330" width="49.8984375" style="2" customWidth="1"/>
    <col min="3331" max="3331" width="9.5" style="2" customWidth="1"/>
    <col min="3332" max="3332" width="15.09765625" style="2" customWidth="1"/>
    <col min="3333" max="3584" width="7.8984375" style="2"/>
    <col min="3585" max="3585" width="22.8984375" style="2" customWidth="1"/>
    <col min="3586" max="3586" width="49.8984375" style="2" customWidth="1"/>
    <col min="3587" max="3587" width="9.5" style="2" customWidth="1"/>
    <col min="3588" max="3588" width="15.09765625" style="2" customWidth="1"/>
    <col min="3589" max="3840" width="7.8984375" style="2"/>
    <col min="3841" max="3841" width="22.8984375" style="2" customWidth="1"/>
    <col min="3842" max="3842" width="49.8984375" style="2" customWidth="1"/>
    <col min="3843" max="3843" width="9.5" style="2" customWidth="1"/>
    <col min="3844" max="3844" width="15.09765625" style="2" customWidth="1"/>
    <col min="3845" max="4096" width="7.8984375" style="2"/>
    <col min="4097" max="4097" width="22.8984375" style="2" customWidth="1"/>
    <col min="4098" max="4098" width="49.8984375" style="2" customWidth="1"/>
    <col min="4099" max="4099" width="9.5" style="2" customWidth="1"/>
    <col min="4100" max="4100" width="15.09765625" style="2" customWidth="1"/>
    <col min="4101" max="4352" width="7.8984375" style="2"/>
    <col min="4353" max="4353" width="22.8984375" style="2" customWidth="1"/>
    <col min="4354" max="4354" width="49.8984375" style="2" customWidth="1"/>
    <col min="4355" max="4355" width="9.5" style="2" customWidth="1"/>
    <col min="4356" max="4356" width="15.09765625" style="2" customWidth="1"/>
    <col min="4357" max="4608" width="7.8984375" style="2"/>
    <col min="4609" max="4609" width="22.8984375" style="2" customWidth="1"/>
    <col min="4610" max="4610" width="49.8984375" style="2" customWidth="1"/>
    <col min="4611" max="4611" width="9.5" style="2" customWidth="1"/>
    <col min="4612" max="4612" width="15.09765625" style="2" customWidth="1"/>
    <col min="4613" max="4864" width="7.8984375" style="2"/>
    <col min="4865" max="4865" width="22.8984375" style="2" customWidth="1"/>
    <col min="4866" max="4866" width="49.8984375" style="2" customWidth="1"/>
    <col min="4867" max="4867" width="9.5" style="2" customWidth="1"/>
    <col min="4868" max="4868" width="15.09765625" style="2" customWidth="1"/>
    <col min="4869" max="5120" width="7.8984375" style="2"/>
    <col min="5121" max="5121" width="22.8984375" style="2" customWidth="1"/>
    <col min="5122" max="5122" width="49.8984375" style="2" customWidth="1"/>
    <col min="5123" max="5123" width="9.5" style="2" customWidth="1"/>
    <col min="5124" max="5124" width="15.09765625" style="2" customWidth="1"/>
    <col min="5125" max="5376" width="7.8984375" style="2"/>
    <col min="5377" max="5377" width="22.8984375" style="2" customWidth="1"/>
    <col min="5378" max="5378" width="49.8984375" style="2" customWidth="1"/>
    <col min="5379" max="5379" width="9.5" style="2" customWidth="1"/>
    <col min="5380" max="5380" width="15.09765625" style="2" customWidth="1"/>
    <col min="5381" max="5632" width="7.8984375" style="2"/>
    <col min="5633" max="5633" width="22.8984375" style="2" customWidth="1"/>
    <col min="5634" max="5634" width="49.8984375" style="2" customWidth="1"/>
    <col min="5635" max="5635" width="9.5" style="2" customWidth="1"/>
    <col min="5636" max="5636" width="15.09765625" style="2" customWidth="1"/>
    <col min="5637" max="5888" width="7.8984375" style="2"/>
    <col min="5889" max="5889" width="22.8984375" style="2" customWidth="1"/>
    <col min="5890" max="5890" width="49.8984375" style="2" customWidth="1"/>
    <col min="5891" max="5891" width="9.5" style="2" customWidth="1"/>
    <col min="5892" max="5892" width="15.09765625" style="2" customWidth="1"/>
    <col min="5893" max="6144" width="7.8984375" style="2"/>
    <col min="6145" max="6145" width="22.8984375" style="2" customWidth="1"/>
    <col min="6146" max="6146" width="49.8984375" style="2" customWidth="1"/>
    <col min="6147" max="6147" width="9.5" style="2" customWidth="1"/>
    <col min="6148" max="6148" width="15.09765625" style="2" customWidth="1"/>
    <col min="6149" max="6400" width="7.8984375" style="2"/>
    <col min="6401" max="6401" width="22.8984375" style="2" customWidth="1"/>
    <col min="6402" max="6402" width="49.8984375" style="2" customWidth="1"/>
    <col min="6403" max="6403" width="9.5" style="2" customWidth="1"/>
    <col min="6404" max="6404" width="15.09765625" style="2" customWidth="1"/>
    <col min="6405" max="6656" width="7.8984375" style="2"/>
    <col min="6657" max="6657" width="22.8984375" style="2" customWidth="1"/>
    <col min="6658" max="6658" width="49.8984375" style="2" customWidth="1"/>
    <col min="6659" max="6659" width="9.5" style="2" customWidth="1"/>
    <col min="6660" max="6660" width="15.09765625" style="2" customWidth="1"/>
    <col min="6661" max="6912" width="7.8984375" style="2"/>
    <col min="6913" max="6913" width="22.8984375" style="2" customWidth="1"/>
    <col min="6914" max="6914" width="49.8984375" style="2" customWidth="1"/>
    <col min="6915" max="6915" width="9.5" style="2" customWidth="1"/>
    <col min="6916" max="6916" width="15.09765625" style="2" customWidth="1"/>
    <col min="6917" max="7168" width="7.8984375" style="2"/>
    <col min="7169" max="7169" width="22.8984375" style="2" customWidth="1"/>
    <col min="7170" max="7170" width="49.8984375" style="2" customWidth="1"/>
    <col min="7171" max="7171" width="9.5" style="2" customWidth="1"/>
    <col min="7172" max="7172" width="15.09765625" style="2" customWidth="1"/>
    <col min="7173" max="7424" width="7.8984375" style="2"/>
    <col min="7425" max="7425" width="22.8984375" style="2" customWidth="1"/>
    <col min="7426" max="7426" width="49.8984375" style="2" customWidth="1"/>
    <col min="7427" max="7427" width="9.5" style="2" customWidth="1"/>
    <col min="7428" max="7428" width="15.09765625" style="2" customWidth="1"/>
    <col min="7429" max="7680" width="7.8984375" style="2"/>
    <col min="7681" max="7681" width="22.8984375" style="2" customWidth="1"/>
    <col min="7682" max="7682" width="49.8984375" style="2" customWidth="1"/>
    <col min="7683" max="7683" width="9.5" style="2" customWidth="1"/>
    <col min="7684" max="7684" width="15.09765625" style="2" customWidth="1"/>
    <col min="7685" max="7936" width="7.8984375" style="2"/>
    <col min="7937" max="7937" width="22.8984375" style="2" customWidth="1"/>
    <col min="7938" max="7938" width="49.8984375" style="2" customWidth="1"/>
    <col min="7939" max="7939" width="9.5" style="2" customWidth="1"/>
    <col min="7940" max="7940" width="15.09765625" style="2" customWidth="1"/>
    <col min="7941" max="8192" width="7.8984375" style="2"/>
    <col min="8193" max="8193" width="22.8984375" style="2" customWidth="1"/>
    <col min="8194" max="8194" width="49.8984375" style="2" customWidth="1"/>
    <col min="8195" max="8195" width="9.5" style="2" customWidth="1"/>
    <col min="8196" max="8196" width="15.09765625" style="2" customWidth="1"/>
    <col min="8197" max="8448" width="7.8984375" style="2"/>
    <col min="8449" max="8449" width="22.8984375" style="2" customWidth="1"/>
    <col min="8450" max="8450" width="49.8984375" style="2" customWidth="1"/>
    <col min="8451" max="8451" width="9.5" style="2" customWidth="1"/>
    <col min="8452" max="8452" width="15.09765625" style="2" customWidth="1"/>
    <col min="8453" max="8704" width="7.8984375" style="2"/>
    <col min="8705" max="8705" width="22.8984375" style="2" customWidth="1"/>
    <col min="8706" max="8706" width="49.8984375" style="2" customWidth="1"/>
    <col min="8707" max="8707" width="9.5" style="2" customWidth="1"/>
    <col min="8708" max="8708" width="15.09765625" style="2" customWidth="1"/>
    <col min="8709" max="8960" width="7.8984375" style="2"/>
    <col min="8961" max="8961" width="22.8984375" style="2" customWidth="1"/>
    <col min="8962" max="8962" width="49.8984375" style="2" customWidth="1"/>
    <col min="8963" max="8963" width="9.5" style="2" customWidth="1"/>
    <col min="8964" max="8964" width="15.09765625" style="2" customWidth="1"/>
    <col min="8965" max="9216" width="7.8984375" style="2"/>
    <col min="9217" max="9217" width="22.8984375" style="2" customWidth="1"/>
    <col min="9218" max="9218" width="49.8984375" style="2" customWidth="1"/>
    <col min="9219" max="9219" width="9.5" style="2" customWidth="1"/>
    <col min="9220" max="9220" width="15.09765625" style="2" customWidth="1"/>
    <col min="9221" max="9472" width="7.8984375" style="2"/>
    <col min="9473" max="9473" width="22.8984375" style="2" customWidth="1"/>
    <col min="9474" max="9474" width="49.8984375" style="2" customWidth="1"/>
    <col min="9475" max="9475" width="9.5" style="2" customWidth="1"/>
    <col min="9476" max="9476" width="15.09765625" style="2" customWidth="1"/>
    <col min="9477" max="9728" width="7.8984375" style="2"/>
    <col min="9729" max="9729" width="22.8984375" style="2" customWidth="1"/>
    <col min="9730" max="9730" width="49.8984375" style="2" customWidth="1"/>
    <col min="9731" max="9731" width="9.5" style="2" customWidth="1"/>
    <col min="9732" max="9732" width="15.09765625" style="2" customWidth="1"/>
    <col min="9733" max="9984" width="7.8984375" style="2"/>
    <col min="9985" max="9985" width="22.8984375" style="2" customWidth="1"/>
    <col min="9986" max="9986" width="49.8984375" style="2" customWidth="1"/>
    <col min="9987" max="9987" width="9.5" style="2" customWidth="1"/>
    <col min="9988" max="9988" width="15.09765625" style="2" customWidth="1"/>
    <col min="9989" max="10240" width="7.8984375" style="2"/>
    <col min="10241" max="10241" width="22.8984375" style="2" customWidth="1"/>
    <col min="10242" max="10242" width="49.8984375" style="2" customWidth="1"/>
    <col min="10243" max="10243" width="9.5" style="2" customWidth="1"/>
    <col min="10244" max="10244" width="15.09765625" style="2" customWidth="1"/>
    <col min="10245" max="10496" width="7.8984375" style="2"/>
    <col min="10497" max="10497" width="22.8984375" style="2" customWidth="1"/>
    <col min="10498" max="10498" width="49.8984375" style="2" customWidth="1"/>
    <col min="10499" max="10499" width="9.5" style="2" customWidth="1"/>
    <col min="10500" max="10500" width="15.09765625" style="2" customWidth="1"/>
    <col min="10501" max="10752" width="7.8984375" style="2"/>
    <col min="10753" max="10753" width="22.8984375" style="2" customWidth="1"/>
    <col min="10754" max="10754" width="49.8984375" style="2" customWidth="1"/>
    <col min="10755" max="10755" width="9.5" style="2" customWidth="1"/>
    <col min="10756" max="10756" width="15.09765625" style="2" customWidth="1"/>
    <col min="10757" max="11008" width="7.8984375" style="2"/>
    <col min="11009" max="11009" width="22.8984375" style="2" customWidth="1"/>
    <col min="11010" max="11010" width="49.8984375" style="2" customWidth="1"/>
    <col min="11011" max="11011" width="9.5" style="2" customWidth="1"/>
    <col min="11012" max="11012" width="15.09765625" style="2" customWidth="1"/>
    <col min="11013" max="11264" width="7.8984375" style="2"/>
    <col min="11265" max="11265" width="22.8984375" style="2" customWidth="1"/>
    <col min="11266" max="11266" width="49.8984375" style="2" customWidth="1"/>
    <col min="11267" max="11267" width="9.5" style="2" customWidth="1"/>
    <col min="11268" max="11268" width="15.09765625" style="2" customWidth="1"/>
    <col min="11269" max="11520" width="7.8984375" style="2"/>
    <col min="11521" max="11521" width="22.8984375" style="2" customWidth="1"/>
    <col min="11522" max="11522" width="49.8984375" style="2" customWidth="1"/>
    <col min="11523" max="11523" width="9.5" style="2" customWidth="1"/>
    <col min="11524" max="11524" width="15.09765625" style="2" customWidth="1"/>
    <col min="11525" max="11776" width="7.8984375" style="2"/>
    <col min="11777" max="11777" width="22.8984375" style="2" customWidth="1"/>
    <col min="11778" max="11778" width="49.8984375" style="2" customWidth="1"/>
    <col min="11779" max="11779" width="9.5" style="2" customWidth="1"/>
    <col min="11780" max="11780" width="15.09765625" style="2" customWidth="1"/>
    <col min="11781" max="12032" width="7.8984375" style="2"/>
    <col min="12033" max="12033" width="22.8984375" style="2" customWidth="1"/>
    <col min="12034" max="12034" width="49.8984375" style="2" customWidth="1"/>
    <col min="12035" max="12035" width="9.5" style="2" customWidth="1"/>
    <col min="12036" max="12036" width="15.09765625" style="2" customWidth="1"/>
    <col min="12037" max="12288" width="7.8984375" style="2"/>
    <col min="12289" max="12289" width="22.8984375" style="2" customWidth="1"/>
    <col min="12290" max="12290" width="49.8984375" style="2" customWidth="1"/>
    <col min="12291" max="12291" width="9.5" style="2" customWidth="1"/>
    <col min="12292" max="12292" width="15.09765625" style="2" customWidth="1"/>
    <col min="12293" max="12544" width="7.8984375" style="2"/>
    <col min="12545" max="12545" width="22.8984375" style="2" customWidth="1"/>
    <col min="12546" max="12546" width="49.8984375" style="2" customWidth="1"/>
    <col min="12547" max="12547" width="9.5" style="2" customWidth="1"/>
    <col min="12548" max="12548" width="15.09765625" style="2" customWidth="1"/>
    <col min="12549" max="12800" width="7.8984375" style="2"/>
    <col min="12801" max="12801" width="22.8984375" style="2" customWidth="1"/>
    <col min="12802" max="12802" width="49.8984375" style="2" customWidth="1"/>
    <col min="12803" max="12803" width="9.5" style="2" customWidth="1"/>
    <col min="12804" max="12804" width="15.09765625" style="2" customWidth="1"/>
    <col min="12805" max="13056" width="7.8984375" style="2"/>
    <col min="13057" max="13057" width="22.8984375" style="2" customWidth="1"/>
    <col min="13058" max="13058" width="49.8984375" style="2" customWidth="1"/>
    <col min="13059" max="13059" width="9.5" style="2" customWidth="1"/>
    <col min="13060" max="13060" width="15.09765625" style="2" customWidth="1"/>
    <col min="13061" max="13312" width="7.8984375" style="2"/>
    <col min="13313" max="13313" width="22.8984375" style="2" customWidth="1"/>
    <col min="13314" max="13314" width="49.8984375" style="2" customWidth="1"/>
    <col min="13315" max="13315" width="9.5" style="2" customWidth="1"/>
    <col min="13316" max="13316" width="15.09765625" style="2" customWidth="1"/>
    <col min="13317" max="13568" width="7.8984375" style="2"/>
    <col min="13569" max="13569" width="22.8984375" style="2" customWidth="1"/>
    <col min="13570" max="13570" width="49.8984375" style="2" customWidth="1"/>
    <col min="13571" max="13571" width="9.5" style="2" customWidth="1"/>
    <col min="13572" max="13572" width="15.09765625" style="2" customWidth="1"/>
    <col min="13573" max="13824" width="7.8984375" style="2"/>
    <col min="13825" max="13825" width="22.8984375" style="2" customWidth="1"/>
    <col min="13826" max="13826" width="49.8984375" style="2" customWidth="1"/>
    <col min="13827" max="13827" width="9.5" style="2" customWidth="1"/>
    <col min="13828" max="13828" width="15.09765625" style="2" customWidth="1"/>
    <col min="13829" max="14080" width="7.8984375" style="2"/>
    <col min="14081" max="14081" width="22.8984375" style="2" customWidth="1"/>
    <col min="14082" max="14082" width="49.8984375" style="2" customWidth="1"/>
    <col min="14083" max="14083" width="9.5" style="2" customWidth="1"/>
    <col min="14084" max="14084" width="15.09765625" style="2" customWidth="1"/>
    <col min="14085" max="14336" width="7.8984375" style="2"/>
    <col min="14337" max="14337" width="22.8984375" style="2" customWidth="1"/>
    <col min="14338" max="14338" width="49.8984375" style="2" customWidth="1"/>
    <col min="14339" max="14339" width="9.5" style="2" customWidth="1"/>
    <col min="14340" max="14340" width="15.09765625" style="2" customWidth="1"/>
    <col min="14341" max="14592" width="7.8984375" style="2"/>
    <col min="14593" max="14593" width="22.8984375" style="2" customWidth="1"/>
    <col min="14594" max="14594" width="49.8984375" style="2" customWidth="1"/>
    <col min="14595" max="14595" width="9.5" style="2" customWidth="1"/>
    <col min="14596" max="14596" width="15.09765625" style="2" customWidth="1"/>
    <col min="14597" max="14848" width="7.8984375" style="2"/>
    <col min="14849" max="14849" width="22.8984375" style="2" customWidth="1"/>
    <col min="14850" max="14850" width="49.8984375" style="2" customWidth="1"/>
    <col min="14851" max="14851" width="9.5" style="2" customWidth="1"/>
    <col min="14852" max="14852" width="15.09765625" style="2" customWidth="1"/>
    <col min="14853" max="15104" width="7.8984375" style="2"/>
    <col min="15105" max="15105" width="22.8984375" style="2" customWidth="1"/>
    <col min="15106" max="15106" width="49.8984375" style="2" customWidth="1"/>
    <col min="15107" max="15107" width="9.5" style="2" customWidth="1"/>
    <col min="15108" max="15108" width="15.09765625" style="2" customWidth="1"/>
    <col min="15109" max="15360" width="7.8984375" style="2"/>
    <col min="15361" max="15361" width="22.8984375" style="2" customWidth="1"/>
    <col min="15362" max="15362" width="49.8984375" style="2" customWidth="1"/>
    <col min="15363" max="15363" width="9.5" style="2" customWidth="1"/>
    <col min="15364" max="15364" width="15.09765625" style="2" customWidth="1"/>
    <col min="15365" max="15616" width="7.8984375" style="2"/>
    <col min="15617" max="15617" width="22.8984375" style="2" customWidth="1"/>
    <col min="15618" max="15618" width="49.8984375" style="2" customWidth="1"/>
    <col min="15619" max="15619" width="9.5" style="2" customWidth="1"/>
    <col min="15620" max="15620" width="15.09765625" style="2" customWidth="1"/>
    <col min="15621" max="15872" width="7.8984375" style="2"/>
    <col min="15873" max="15873" width="22.8984375" style="2" customWidth="1"/>
    <col min="15874" max="15874" width="49.8984375" style="2" customWidth="1"/>
    <col min="15875" max="15875" width="9.5" style="2" customWidth="1"/>
    <col min="15876" max="15876" width="15.09765625" style="2" customWidth="1"/>
    <col min="15877" max="16128" width="7.8984375" style="2"/>
    <col min="16129" max="16129" width="22.8984375" style="2" customWidth="1"/>
    <col min="16130" max="16130" width="49.8984375" style="2" customWidth="1"/>
    <col min="16131" max="16131" width="9.5" style="2" customWidth="1"/>
    <col min="16132" max="16132" width="15.09765625" style="2" customWidth="1"/>
    <col min="16133" max="16384" width="7.8984375" style="2"/>
  </cols>
  <sheetData>
    <row r="1" spans="1:5" ht="15" customHeight="1" x14ac:dyDescent="0.25">
      <c r="A1" s="311"/>
      <c r="B1" s="311"/>
      <c r="C1" s="311"/>
      <c r="D1" s="311"/>
    </row>
    <row r="2" spans="1:5" ht="15" customHeight="1" x14ac:dyDescent="0.25">
      <c r="A2" s="316" t="s">
        <v>127</v>
      </c>
      <c r="B2" s="316"/>
      <c r="C2" s="316"/>
      <c r="D2" s="316"/>
      <c r="E2" s="316"/>
    </row>
    <row r="3" spans="1:5" ht="15" customHeight="1" x14ac:dyDescent="0.25">
      <c r="A3" s="316" t="s">
        <v>128</v>
      </c>
      <c r="B3" s="316"/>
      <c r="C3" s="316"/>
      <c r="D3" s="316"/>
      <c r="E3" s="316"/>
    </row>
    <row r="4" spans="1:5" ht="15" customHeight="1" x14ac:dyDescent="0.25">
      <c r="A4" s="311"/>
      <c r="B4" s="311"/>
      <c r="C4" s="311"/>
      <c r="D4" s="311"/>
    </row>
    <row r="5" spans="1:5" ht="15" customHeight="1" x14ac:dyDescent="0.25">
      <c r="A5" s="120"/>
      <c r="B5" s="120"/>
      <c r="C5" s="120"/>
      <c r="D5" s="120"/>
    </row>
    <row r="6" spans="1:5" ht="24.9" customHeight="1" x14ac:dyDescent="0.25">
      <c r="A6" s="314" t="s">
        <v>371</v>
      </c>
      <c r="B6" s="314"/>
      <c r="C6" s="314"/>
      <c r="D6" s="314"/>
      <c r="E6" s="314"/>
    </row>
    <row r="7" spans="1:5" ht="15" customHeight="1" x14ac:dyDescent="0.25">
      <c r="A7" s="315"/>
      <c r="B7" s="315"/>
      <c r="C7" s="315"/>
      <c r="D7" s="315"/>
      <c r="E7" s="56"/>
    </row>
    <row r="8" spans="1:5" ht="15" customHeight="1" x14ac:dyDescent="0.25">
      <c r="A8" s="315" t="s">
        <v>174</v>
      </c>
      <c r="B8" s="315"/>
      <c r="C8" s="315"/>
      <c r="D8" s="315"/>
      <c r="E8" s="315"/>
    </row>
    <row r="9" spans="1:5" s="22" customFormat="1" ht="15" customHeight="1" x14ac:dyDescent="0.25">
      <c r="A9" s="57"/>
      <c r="B9" s="57"/>
      <c r="C9" s="57"/>
      <c r="D9" s="23"/>
    </row>
    <row r="10" spans="1:5" s="22" customFormat="1" ht="15" customHeight="1" x14ac:dyDescent="0.25">
      <c r="A10" s="57"/>
      <c r="B10" s="57"/>
      <c r="C10" s="57"/>
      <c r="D10" s="23"/>
    </row>
    <row r="11" spans="1:5" ht="45" customHeight="1" x14ac:dyDescent="0.25">
      <c r="A11" s="58">
        <v>1</v>
      </c>
      <c r="B11" s="313" t="s">
        <v>175</v>
      </c>
      <c r="C11" s="313"/>
      <c r="D11" s="313"/>
    </row>
    <row r="12" spans="1:5" x14ac:dyDescent="0.25">
      <c r="A12" s="59"/>
      <c r="B12" s="186"/>
      <c r="C12" s="186"/>
      <c r="D12" s="187"/>
    </row>
    <row r="13" spans="1:5" ht="45" customHeight="1" x14ac:dyDescent="0.25">
      <c r="A13" s="58">
        <v>2</v>
      </c>
      <c r="B13" s="313" t="s">
        <v>318</v>
      </c>
      <c r="C13" s="313"/>
      <c r="D13" s="313"/>
    </row>
    <row r="14" spans="1:5" x14ac:dyDescent="0.25">
      <c r="A14" s="59"/>
      <c r="B14" s="186"/>
      <c r="C14" s="186"/>
      <c r="D14" s="187"/>
    </row>
    <row r="15" spans="1:5" ht="45" customHeight="1" x14ac:dyDescent="0.25">
      <c r="A15" s="58">
        <v>3</v>
      </c>
      <c r="B15" s="313" t="s">
        <v>176</v>
      </c>
      <c r="C15" s="313"/>
      <c r="D15" s="313"/>
    </row>
    <row r="16" spans="1:5" x14ac:dyDescent="0.25">
      <c r="A16" s="59"/>
      <c r="B16" s="186"/>
      <c r="C16" s="186"/>
      <c r="D16" s="187"/>
    </row>
    <row r="17" spans="1:4" ht="45" customHeight="1" x14ac:dyDescent="0.25">
      <c r="A17" s="58">
        <v>4</v>
      </c>
      <c r="B17" s="312" t="s">
        <v>319</v>
      </c>
      <c r="C17" s="312"/>
      <c r="D17" s="312"/>
    </row>
    <row r="18" spans="1:4" x14ac:dyDescent="0.25">
      <c r="A18" s="59"/>
      <c r="B18" s="218"/>
      <c r="C18" s="218"/>
      <c r="D18" s="219"/>
    </row>
    <row r="19" spans="1:4" ht="45" customHeight="1" x14ac:dyDescent="0.25">
      <c r="A19" s="58">
        <v>5</v>
      </c>
      <c r="B19" s="312" t="s">
        <v>320</v>
      </c>
      <c r="C19" s="312"/>
      <c r="D19" s="312"/>
    </row>
    <row r="20" spans="1:4" x14ac:dyDescent="0.25">
      <c r="A20" s="59"/>
      <c r="B20" s="218"/>
      <c r="C20" s="218"/>
      <c r="D20" s="219"/>
    </row>
    <row r="21" spans="1:4" ht="45" customHeight="1" x14ac:dyDescent="0.25">
      <c r="A21" s="58">
        <v>6</v>
      </c>
      <c r="B21" s="312" t="s">
        <v>321</v>
      </c>
      <c r="C21" s="312"/>
      <c r="D21" s="312"/>
    </row>
    <row r="22" spans="1:4" x14ac:dyDescent="0.25">
      <c r="A22" s="59"/>
      <c r="B22" s="218"/>
      <c r="C22" s="218"/>
      <c r="D22" s="219"/>
    </row>
    <row r="23" spans="1:4" ht="45" customHeight="1" x14ac:dyDescent="0.25">
      <c r="A23" s="58">
        <v>7</v>
      </c>
      <c r="B23" s="312" t="s">
        <v>324</v>
      </c>
      <c r="C23" s="312"/>
      <c r="D23" s="312"/>
    </row>
    <row r="24" spans="1:4" x14ac:dyDescent="0.25">
      <c r="B24" s="220"/>
      <c r="C24" s="220"/>
      <c r="D24" s="221"/>
    </row>
    <row r="25" spans="1:4" ht="45" customHeight="1" x14ac:dyDescent="0.25">
      <c r="A25" s="58">
        <v>8</v>
      </c>
      <c r="B25" s="312" t="s">
        <v>322</v>
      </c>
      <c r="C25" s="312"/>
      <c r="D25" s="312"/>
    </row>
    <row r="26" spans="1:4" x14ac:dyDescent="0.25">
      <c r="B26" s="220"/>
      <c r="C26" s="220"/>
      <c r="D26" s="221"/>
    </row>
    <row r="27" spans="1:4" ht="45" customHeight="1" x14ac:dyDescent="0.25">
      <c r="A27" s="58">
        <v>9</v>
      </c>
      <c r="B27" s="312" t="s">
        <v>323</v>
      </c>
      <c r="C27" s="312"/>
      <c r="D27" s="312"/>
    </row>
  </sheetData>
  <sheetProtection algorithmName="SHA-512" hashValue="/psIi1nhKPHBZbGvebi7HGiysNSbDWymuL+4wJ07JURE/M7sSEPYgjAOtFgcLf6klMZYLXpFEPIbFOKAQFnkxA==" saltValue="0uStcVXCNbiFeJlbWwGqbw==" spinCount="100000" sheet="1" objects="1" scenarios="1"/>
  <mergeCells count="16">
    <mergeCell ref="B27:D27"/>
    <mergeCell ref="A6:E6"/>
    <mergeCell ref="A8:E8"/>
    <mergeCell ref="A2:E2"/>
    <mergeCell ref="A3:E3"/>
    <mergeCell ref="B23:D23"/>
    <mergeCell ref="B25:D25"/>
    <mergeCell ref="A7:D7"/>
    <mergeCell ref="A1:D1"/>
    <mergeCell ref="A4:D4"/>
    <mergeCell ref="B21:D21"/>
    <mergeCell ref="B11:D11"/>
    <mergeCell ref="B13:D13"/>
    <mergeCell ref="B15:D15"/>
    <mergeCell ref="B17:D17"/>
    <mergeCell ref="B19:D19"/>
  </mergeCells>
  <pageMargins left="0.78740157480314965" right="0.78740157480314965" top="0.78740157480314965" bottom="0.78740157480314965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K61"/>
  <sheetViews>
    <sheetView showGridLines="0" tabSelected="1" showOutlineSymbols="0" showWhiteSpace="0" view="pageBreakPreview" zoomScaleNormal="100" zoomScaleSheetLayoutView="100" workbookViewId="0">
      <selection activeCell="C40" sqref="C40"/>
    </sheetView>
  </sheetViews>
  <sheetFormatPr defaultColWidth="9" defaultRowHeight="13.8" x14ac:dyDescent="0.25"/>
  <cols>
    <col min="1" max="1" width="10.59765625" style="138" customWidth="1"/>
    <col min="2" max="2" width="15.59765625" style="138" customWidth="1"/>
    <col min="3" max="3" width="10.59765625" style="138" customWidth="1"/>
    <col min="4" max="4" width="60.59765625" style="138" customWidth="1"/>
    <col min="5" max="5" width="8.59765625" style="138" customWidth="1"/>
    <col min="6" max="8" width="15.59765625" style="175" customWidth="1"/>
    <col min="9" max="9" width="15.59765625" style="138" customWidth="1"/>
    <col min="10" max="10" width="15.59765625" style="234" customWidth="1"/>
    <col min="11" max="16384" width="9" style="138"/>
  </cols>
  <sheetData>
    <row r="1" spans="1:11" ht="15" customHeight="1" x14ac:dyDescent="0.25">
      <c r="A1" s="317"/>
      <c r="B1" s="317"/>
      <c r="C1" s="317"/>
      <c r="D1" s="317"/>
      <c r="E1" s="317"/>
      <c r="F1" s="317"/>
      <c r="G1" s="317"/>
      <c r="H1" s="317"/>
      <c r="I1" s="317"/>
      <c r="J1" s="317"/>
    </row>
    <row r="2" spans="1:11" ht="15" customHeight="1" x14ac:dyDescent="0.25">
      <c r="A2" s="318" t="str">
        <f>INSTRUÇÕES!A2</f>
        <v>PROCURADORIA GERAL DA REPÚBLICA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1" ht="15" customHeight="1" x14ac:dyDescent="0.25">
      <c r="A3" s="318" t="str">
        <f>INSTRUÇÕES!A3</f>
        <v>SECRETARIA DE ENGENHARIA E ARQUITETURA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1" ht="15" customHeight="1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</row>
    <row r="5" spans="1:11" ht="15" customHeight="1" x14ac:dyDescent="0.25">
      <c r="A5" s="321" t="str">
        <f>INSTRUÇÕES!A6</f>
        <v>OBRA: SFCR DA ESMPU - 2021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1" s="189" customFormat="1" ht="24.9" customHeight="1" x14ac:dyDescent="0.25">
      <c r="A6" s="319" t="s">
        <v>187</v>
      </c>
      <c r="B6" s="319"/>
      <c r="C6" s="319"/>
      <c r="D6" s="319"/>
      <c r="E6" s="319"/>
      <c r="F6" s="319"/>
      <c r="G6" s="319"/>
      <c r="H6" s="319"/>
      <c r="I6" s="319"/>
      <c r="J6" s="319"/>
    </row>
    <row r="7" spans="1:11" ht="15" customHeight="1" x14ac:dyDescent="0.25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1" ht="15" customHeight="1" x14ac:dyDescent="0.25">
      <c r="A8" s="190"/>
      <c r="B8" s="190"/>
      <c r="C8" s="190"/>
      <c r="D8" s="190"/>
      <c r="E8" s="320" t="s">
        <v>317</v>
      </c>
      <c r="F8" s="320"/>
      <c r="G8" s="320"/>
      <c r="H8" s="320"/>
      <c r="I8" s="320"/>
      <c r="J8" s="191">
        <f>BDI!D9</f>
        <v>1.1369</v>
      </c>
    </row>
    <row r="9" spans="1:11" ht="15" customHeight="1" x14ac:dyDescent="0.25">
      <c r="A9" s="190"/>
      <c r="B9" s="190"/>
      <c r="C9" s="190"/>
      <c r="D9" s="190"/>
      <c r="E9" s="320" t="s">
        <v>173</v>
      </c>
      <c r="F9" s="320"/>
      <c r="G9" s="320"/>
      <c r="H9" s="320"/>
      <c r="I9" s="320"/>
      <c r="J9" s="191">
        <f>BDI!D23</f>
        <v>0.22220000000000001</v>
      </c>
    </row>
    <row r="10" spans="1:11" ht="15" customHeight="1" x14ac:dyDescent="0.25">
      <c r="A10" s="190"/>
      <c r="B10" s="190"/>
      <c r="C10" s="190"/>
      <c r="D10" s="190"/>
      <c r="E10" s="320" t="s">
        <v>635</v>
      </c>
      <c r="F10" s="320"/>
      <c r="G10" s="320"/>
      <c r="H10" s="320"/>
      <c r="I10" s="320"/>
      <c r="J10" s="191"/>
    </row>
    <row r="11" spans="1:11" ht="15" customHeight="1" x14ac:dyDescent="0.25">
      <c r="A11" s="190"/>
      <c r="B11" s="190"/>
      <c r="C11" s="190"/>
      <c r="D11" s="190"/>
      <c r="E11" s="190"/>
      <c r="F11" s="192"/>
      <c r="G11" s="192"/>
      <c r="H11" s="192"/>
      <c r="I11" s="190"/>
      <c r="J11" s="231"/>
    </row>
    <row r="12" spans="1:11" ht="27.6" x14ac:dyDescent="0.25">
      <c r="A12" s="193" t="s">
        <v>153</v>
      </c>
      <c r="B12" s="194" t="s">
        <v>166</v>
      </c>
      <c r="C12" s="193" t="s">
        <v>167</v>
      </c>
      <c r="D12" s="193" t="s">
        <v>154</v>
      </c>
      <c r="E12" s="195" t="s">
        <v>168</v>
      </c>
      <c r="F12" s="196" t="s">
        <v>169</v>
      </c>
      <c r="G12" s="197" t="s">
        <v>188</v>
      </c>
      <c r="H12" s="196" t="s">
        <v>171</v>
      </c>
      <c r="I12" s="198" t="s">
        <v>189</v>
      </c>
      <c r="J12" s="232" t="s">
        <v>172</v>
      </c>
    </row>
    <row r="13" spans="1:11" x14ac:dyDescent="0.25">
      <c r="A13" s="199"/>
      <c r="B13" s="200"/>
      <c r="C13" s="199"/>
      <c r="D13" s="199"/>
      <c r="E13" s="201"/>
      <c r="F13" s="202"/>
      <c r="G13" s="202"/>
      <c r="H13" s="202"/>
      <c r="I13" s="200"/>
      <c r="J13" s="233"/>
    </row>
    <row r="14" spans="1:11" s="190" customFormat="1" x14ac:dyDescent="0.25">
      <c r="A14" s="217" t="s">
        <v>754</v>
      </c>
      <c r="B14" s="203"/>
      <c r="C14" s="203"/>
      <c r="D14" s="217" t="s">
        <v>755</v>
      </c>
      <c r="E14" s="203"/>
      <c r="F14" s="204"/>
      <c r="G14" s="205"/>
      <c r="H14" s="205"/>
      <c r="I14" s="206">
        <f>SUM(I15,I17,I20)</f>
        <v>3206.77</v>
      </c>
      <c r="J14" s="207">
        <f>SUM(J15,J17,J20)</f>
        <v>8.0941680504134968E-3</v>
      </c>
      <c r="K14" s="208" t="str">
        <f>IF(ISBLANK($A14),"",HYPERLINK("#ANALÍTICA!A"&amp;MATCH($A14,ANALÍTICA!A:A,0),"Link"))</f>
        <v>Link</v>
      </c>
    </row>
    <row r="15" spans="1:11" s="190" customFormat="1" x14ac:dyDescent="0.25">
      <c r="A15" s="223" t="s">
        <v>756</v>
      </c>
      <c r="B15" s="223"/>
      <c r="C15" s="223"/>
      <c r="D15" s="223" t="s">
        <v>8</v>
      </c>
      <c r="E15" s="223"/>
      <c r="F15" s="227"/>
      <c r="G15" s="223"/>
      <c r="H15" s="223"/>
      <c r="I15" s="224">
        <f>SUM(I16)</f>
        <v>629.4</v>
      </c>
      <c r="J15" s="269">
        <f>SUM(J16)</f>
        <v>1.5886606681895659E-3</v>
      </c>
      <c r="K15" s="208" t="str">
        <f>IF(ISBLANK($A15),"",HYPERLINK("#ANALÍTICA!A"&amp;MATCH($A15,ANALÍTICA!A:A,0),"Link"))</f>
        <v>Link</v>
      </c>
    </row>
    <row r="16" spans="1:11" s="190" customFormat="1" x14ac:dyDescent="0.25">
      <c r="A16" s="225" t="s">
        <v>636</v>
      </c>
      <c r="B16" s="226" t="s">
        <v>9</v>
      </c>
      <c r="C16" s="213" t="str">
        <f>UPPER(VLOOKUP(B16,ANALÍTICA!B:J,2,0))</f>
        <v>SINAPI</v>
      </c>
      <c r="D16" s="213" t="str">
        <f>UPPER(VLOOKUP(B16,ANALÍTICA!B:J,3,0))</f>
        <v>PLACA DE OBRA EM CHAPA DE ACO GALVANIZADO</v>
      </c>
      <c r="E16" s="214" t="str">
        <f>UPPER(VLOOKUP(B16,ANALÍTICA!B:J,6,0))</f>
        <v>M²</v>
      </c>
      <c r="F16" s="228">
        <v>1.6</v>
      </c>
      <c r="G16" s="215">
        <f>VLOOKUP(B16,ANALÍTICA!B:J,8,0)</f>
        <v>321.87</v>
      </c>
      <c r="H16" s="215">
        <f>TRUNC(G16*(1+J$9),2)</f>
        <v>393.38</v>
      </c>
      <c r="I16" s="215">
        <f>TRUNC(H16*F16,2)</f>
        <v>629.4</v>
      </c>
      <c r="J16" s="216">
        <f>I16/$I$58</f>
        <v>1.5886606681895659E-3</v>
      </c>
      <c r="K16" s="208" t="str">
        <f>IF(ISBLANK($A16),"",HYPERLINK("#ANALÍTICA!A"&amp;MATCH($A16,ANALÍTICA!A:A,0),"Link"))</f>
        <v>Link</v>
      </c>
    </row>
    <row r="17" spans="1:11" s="190" customFormat="1" x14ac:dyDescent="0.25">
      <c r="A17" s="223" t="s">
        <v>757</v>
      </c>
      <c r="B17" s="223"/>
      <c r="C17" s="223"/>
      <c r="D17" s="223" t="s">
        <v>329</v>
      </c>
      <c r="E17" s="223"/>
      <c r="F17" s="227"/>
      <c r="G17" s="223"/>
      <c r="H17" s="223"/>
      <c r="I17" s="224">
        <f>SUM(I18:I19)</f>
        <v>2144.29</v>
      </c>
      <c r="J17" s="269">
        <f>SUM(J18:J19)</f>
        <v>5.4123755706898709E-3</v>
      </c>
      <c r="K17" s="208" t="str">
        <f>IF(ISBLANK($A17),"",HYPERLINK("#ANALÍTICA!A"&amp;MATCH($A17,ANALÍTICA!A:A,0),"Link"))</f>
        <v>Link</v>
      </c>
    </row>
    <row r="18" spans="1:11" s="190" customFormat="1" ht="52.8" x14ac:dyDescent="0.25">
      <c r="A18" s="225" t="s">
        <v>638</v>
      </c>
      <c r="B18" s="226" t="s">
        <v>365</v>
      </c>
      <c r="C18" s="213" t="str">
        <f>UPPER(VLOOKUP(B18,ANALÍTICA!B:J,2,0))</f>
        <v>SINAPI</v>
      </c>
      <c r="D18" s="213" t="str">
        <f>UPPER(VLOOKUP(B18,ANALÍTICA!B:J,3,0))</f>
        <v>ALUGUEL CONTAINER/ESCRIT INCL INST ELET LARG=2,20 COMP=6,20M          ALT=2,50M CHAPA ACO C/NERV TRAPEZ FORRO C/ISOL TERMO/ACUSTICO         CHASSIS REFORC PISO COMPENS NAVAL EXC TRANSP/CARGA/DESCARGA</v>
      </c>
      <c r="E18" s="214" t="str">
        <f>UPPER(VLOOKUP(B18,ANALÍTICA!B:J,6,0))</f>
        <v>MES</v>
      </c>
      <c r="F18" s="228">
        <v>2</v>
      </c>
      <c r="G18" s="215">
        <f>VLOOKUP(B18,ANALÍTICA!B:J,8,0)</f>
        <v>457.03</v>
      </c>
      <c r="H18" s="215">
        <f>TRUNC(G18*(1+J$9),2)</f>
        <v>558.58000000000004</v>
      </c>
      <c r="I18" s="215">
        <f>TRUNC(H18*F18,2)</f>
        <v>1117.1600000000001</v>
      </c>
      <c r="J18" s="216">
        <f>I18/$I$58</f>
        <v>2.8198095838491513E-3</v>
      </c>
      <c r="K18" s="208" t="str">
        <f>IF(ISBLANK($A18),"",HYPERLINK("#ANALÍTICA!A"&amp;MATCH($A18,ANALÍTICA!A:A,0),"Link"))</f>
        <v>Link</v>
      </c>
    </row>
    <row r="19" spans="1:11" s="190" customFormat="1" ht="26.4" x14ac:dyDescent="0.25">
      <c r="A19" s="225" t="s">
        <v>639</v>
      </c>
      <c r="B19" s="226" t="s">
        <v>367</v>
      </c>
      <c r="C19" s="213" t="str">
        <f>UPPER(VLOOKUP(B19,ANALÍTICA!B:J,2,0))</f>
        <v>PRÓPRIO</v>
      </c>
      <c r="D19" s="213" t="str">
        <f>UPPER(VLOOKUP(B19,ANALÍTICA!B:J,3,0))</f>
        <v>MOBILIZAÇÃO E DESMOBILIZAÇÃO DE CONTAINER</v>
      </c>
      <c r="E19" s="214" t="str">
        <f>UPPER(VLOOKUP(B19,ANALÍTICA!B:J,6,0))</f>
        <v>UN</v>
      </c>
      <c r="F19" s="228">
        <v>1</v>
      </c>
      <c r="G19" s="215">
        <f>VLOOKUP(B19,ANALÍTICA!B:J,8,0)</f>
        <v>840.4</v>
      </c>
      <c r="H19" s="215">
        <f>TRUNC(G19*(1+J$9),2)</f>
        <v>1027.1300000000001</v>
      </c>
      <c r="I19" s="215">
        <f>TRUNC(H19*F19,2)</f>
        <v>1027.1300000000001</v>
      </c>
      <c r="J19" s="216">
        <f>I19/$I$58</f>
        <v>2.5925659868407201E-3</v>
      </c>
      <c r="K19" s="208" t="str">
        <f>IF(ISBLANK($A19),"",HYPERLINK("#ANALÍTICA!A"&amp;MATCH($A19,ANALÍTICA!A:A,0),"Link"))</f>
        <v>Link</v>
      </c>
    </row>
    <row r="20" spans="1:11" s="190" customFormat="1" x14ac:dyDescent="0.25">
      <c r="A20" s="223" t="s">
        <v>758</v>
      </c>
      <c r="B20" s="223"/>
      <c r="C20" s="223"/>
      <c r="D20" s="223" t="s">
        <v>759</v>
      </c>
      <c r="E20" s="223"/>
      <c r="F20" s="227"/>
      <c r="G20" s="223"/>
      <c r="H20" s="223"/>
      <c r="I20" s="224">
        <f>SUM(I21)</f>
        <v>433.08</v>
      </c>
      <c r="J20" s="269">
        <f>SUM(J21)</f>
        <v>1.0931318115340598E-3</v>
      </c>
      <c r="K20" s="208" t="str">
        <f>IF(ISBLANK($A20),"",HYPERLINK("#ANALÍTICA!A"&amp;MATCH($A20,ANALÍTICA!A:A,0),"Link"))</f>
        <v>Link</v>
      </c>
    </row>
    <row r="21" spans="1:11" s="190" customFormat="1" ht="26.4" x14ac:dyDescent="0.25">
      <c r="A21" s="225" t="s">
        <v>640</v>
      </c>
      <c r="B21" s="226" t="s">
        <v>641</v>
      </c>
      <c r="C21" s="213" t="str">
        <f>UPPER(VLOOKUP(B21,ANALÍTICA!B:J,2,0))</f>
        <v>SINAPI</v>
      </c>
      <c r="D21" s="213" t="str">
        <f>UPPER(VLOOKUP(B21,ANALÍTICA!B:J,3,0))</f>
        <v>FURO EM CONCRETO PARA DIÂMETROS MAIORES QUE 40 MM E MENORES OU IGUAIS A 75 MM. AF_05/2015</v>
      </c>
      <c r="E21" s="214" t="str">
        <f>UPPER(VLOOKUP(B21,ANALÍTICA!B:J,6,0))</f>
        <v>UN</v>
      </c>
      <c r="F21" s="228">
        <v>4</v>
      </c>
      <c r="G21" s="215">
        <f>VLOOKUP(B21,ANALÍTICA!B:J,8,0)</f>
        <v>88.59</v>
      </c>
      <c r="H21" s="215">
        <f>TRUNC(G21*(1+J$9),2)</f>
        <v>108.27</v>
      </c>
      <c r="I21" s="215">
        <f>TRUNC(H21*F21,2)</f>
        <v>433.08</v>
      </c>
      <c r="J21" s="216">
        <f>I21/$I$58</f>
        <v>1.0931318115340598E-3</v>
      </c>
      <c r="K21" s="208" t="str">
        <f>IF(ISBLANK($A21),"",HYPERLINK("#ANALÍTICA!A"&amp;MATCH($A21,ANALÍTICA!A:A,0),"Link"))</f>
        <v>Link</v>
      </c>
    </row>
    <row r="22" spans="1:11" s="190" customFormat="1" x14ac:dyDescent="0.25">
      <c r="A22" s="217" t="s">
        <v>760</v>
      </c>
      <c r="B22" s="203"/>
      <c r="C22" s="203"/>
      <c r="D22" s="217" t="s">
        <v>761</v>
      </c>
      <c r="E22" s="203"/>
      <c r="F22" s="204"/>
      <c r="G22" s="205"/>
      <c r="H22" s="205"/>
      <c r="I22" s="206">
        <f>SUM(I23,I25,I29,I35,I38,I40,I42,I46,I48)</f>
        <v>371404.81000000006</v>
      </c>
      <c r="J22" s="207">
        <f>SUM(J23,J25,J29,J35,J38,J40,J42,J46,J48)</f>
        <v>0.93745823581731624</v>
      </c>
      <c r="K22" s="208" t="str">
        <f>IF(ISBLANK($A22),"",HYPERLINK("#ANALÍTICA!A"&amp;MATCH($A22,ANALÍTICA!A:A,0),"Link"))</f>
        <v>Link</v>
      </c>
    </row>
    <row r="23" spans="1:11" s="190" customFormat="1" x14ac:dyDescent="0.25">
      <c r="A23" s="223" t="s">
        <v>762</v>
      </c>
      <c r="B23" s="223"/>
      <c r="C23" s="223"/>
      <c r="D23" s="223" t="s">
        <v>649</v>
      </c>
      <c r="E23" s="223"/>
      <c r="F23" s="227"/>
      <c r="G23" s="223"/>
      <c r="H23" s="223"/>
      <c r="I23" s="224">
        <f>SUM(I24)</f>
        <v>4014.09</v>
      </c>
      <c r="J23" s="269">
        <f>SUM(J24)</f>
        <v>1.0131914365384581E-2</v>
      </c>
      <c r="K23" s="208" t="str">
        <f>IF(ISBLANK($A23),"",HYPERLINK("#ANALÍTICA!A"&amp;MATCH($A23,ANALÍTICA!A:A,0),"Link"))</f>
        <v>Link</v>
      </c>
    </row>
    <row r="24" spans="1:11" s="190" customFormat="1" ht="26.4" x14ac:dyDescent="0.25">
      <c r="A24" s="225" t="s">
        <v>647</v>
      </c>
      <c r="B24" s="226" t="s">
        <v>648</v>
      </c>
      <c r="C24" s="213" t="str">
        <f>UPPER(VLOOKUP(B24,ANALÍTICA!B:J,2,0))</f>
        <v>PRÓPRIO</v>
      </c>
      <c r="D24" s="213" t="str">
        <f>UPPER(VLOOKUP(B24,ANALÍTICA!B:J,3,0))</f>
        <v>APROVAÇÃO DE PROJETO NA CONCESSIONÁRIA</v>
      </c>
      <c r="E24" s="214" t="str">
        <f>UPPER(VLOOKUP(B24,ANALÍTICA!B:J,6,0))</f>
        <v>UNIDADE</v>
      </c>
      <c r="F24" s="228">
        <v>1</v>
      </c>
      <c r="G24" s="215">
        <f>VLOOKUP(B24,ANALÍTICA!B:J,8,0)</f>
        <v>3284.32</v>
      </c>
      <c r="H24" s="215">
        <f>TRUNC(G24*(1+J$9),2)</f>
        <v>4014.09</v>
      </c>
      <c r="I24" s="215">
        <f>TRUNC(H24*F24,2)</f>
        <v>4014.09</v>
      </c>
      <c r="J24" s="216">
        <f>I24/$I$58</f>
        <v>1.0131914365384581E-2</v>
      </c>
      <c r="K24" s="208" t="str">
        <f>IF(ISBLANK($A24),"",HYPERLINK("#ANALÍTICA!A"&amp;MATCH($A24,ANALÍTICA!A:A,0),"Link"))</f>
        <v>Link</v>
      </c>
    </row>
    <row r="25" spans="1:11" s="190" customFormat="1" x14ac:dyDescent="0.25">
      <c r="A25" s="223" t="s">
        <v>763</v>
      </c>
      <c r="B25" s="223"/>
      <c r="C25" s="223"/>
      <c r="D25" s="223" t="s">
        <v>764</v>
      </c>
      <c r="E25" s="223"/>
      <c r="F25" s="227"/>
      <c r="G25" s="223"/>
      <c r="H25" s="223"/>
      <c r="I25" s="224">
        <f>SUM(I26:I28)</f>
        <v>322687.87</v>
      </c>
      <c r="J25" s="269">
        <f>SUM(J26:J28)</f>
        <v>0.81449241685870322</v>
      </c>
      <c r="K25" s="208" t="str">
        <f>IF(ISBLANK($A25),"",HYPERLINK("#ANALÍTICA!A"&amp;MATCH($A25,ANALÍTICA!A:A,0),"Link"))</f>
        <v>Link</v>
      </c>
    </row>
    <row r="26" spans="1:11" s="190" customFormat="1" ht="52.8" x14ac:dyDescent="0.25">
      <c r="A26" s="225" t="s">
        <v>654</v>
      </c>
      <c r="B26" s="226" t="s">
        <v>655</v>
      </c>
      <c r="C26" s="213" t="str">
        <f>UPPER(VLOOKUP(B26,ANALÍTICA!B:J,2,0))</f>
        <v>PRÓPRIO</v>
      </c>
      <c r="D26" s="213" t="str">
        <f>UPPER(VLOOKUP(B26,ANALÍTICA!B:J,3,0))</f>
        <v>KIT GERADOR FOTOVOLTAICO (INVERSOR, STRING-BOX, MÓDULOS, CABOS, CONECTORES, ESTRUTURA DE FIXAÇÃO E MONITORAMENTO) 40,80 KWP PARA MONTAGEM EM TELHADO METÁLICO TRAPEZOIDAL - FORNECIMENTO E INSTALAÇÃO</v>
      </c>
      <c r="E26" s="214" t="str">
        <f>UPPER(VLOOKUP(B26,ANALÍTICA!B:J,6,0))</f>
        <v>UNIDADE</v>
      </c>
      <c r="F26" s="228">
        <v>2</v>
      </c>
      <c r="G26" s="215">
        <f>VLOOKUP(B26,ANALÍTICA!B:J,8,0)</f>
        <v>130371.05</v>
      </c>
      <c r="H26" s="215">
        <f>TRUNC(G26*(1+J$9),2)</f>
        <v>159339.49</v>
      </c>
      <c r="I26" s="215">
        <f>TRUNC(H26*F26,2)</f>
        <v>318678.98</v>
      </c>
      <c r="J26" s="216">
        <f>I26/$I$58</f>
        <v>0.80437362774828303</v>
      </c>
      <c r="K26" s="208" t="str">
        <f>IF(ISBLANK($A26),"",HYPERLINK("#ANALÍTICA!A"&amp;MATCH($A26,ANALÍTICA!A:A,0),"Link"))</f>
        <v>Link</v>
      </c>
    </row>
    <row r="27" spans="1:11" s="190" customFormat="1" ht="26.4" x14ac:dyDescent="0.25">
      <c r="A27" s="225" t="s">
        <v>657</v>
      </c>
      <c r="B27" s="226" t="s">
        <v>658</v>
      </c>
      <c r="C27" s="213" t="str">
        <f>UPPER(VLOOKUP(B27,ANALÍTICA!B:J,2,0))</f>
        <v>PRÓPRIO</v>
      </c>
      <c r="D27" s="213" t="str">
        <f>UPPER(VLOOKUP(B27,ANALÍTICA!B:J,3,0))</f>
        <v>PLACA DE AVISO DE GERAÇÃO PRÓPRIA - FORNECIMENTO E INSTALAÇÃO</v>
      </c>
      <c r="E27" s="214" t="str">
        <f>UPPER(VLOOKUP(B27,ANALÍTICA!B:J,6,0))</f>
        <v>UNIDADE</v>
      </c>
      <c r="F27" s="228">
        <v>7</v>
      </c>
      <c r="G27" s="215">
        <f>VLOOKUP(B27,ANALÍTICA!B:J,8,0)</f>
        <v>34.56</v>
      </c>
      <c r="H27" s="215">
        <f>TRUNC(G27*(1+J$9),2)</f>
        <v>42.23</v>
      </c>
      <c r="I27" s="215">
        <f>TRUNC(H27*F27,2)</f>
        <v>295.61</v>
      </c>
      <c r="J27" s="216">
        <f>I27/$I$58</f>
        <v>7.4614550385052058E-4</v>
      </c>
      <c r="K27" s="208" t="str">
        <f>IF(ISBLANK($A27),"",HYPERLINK("#ANALÍTICA!A"&amp;MATCH($A27,ANALÍTICA!A:A,0),"Link"))</f>
        <v>Link</v>
      </c>
    </row>
    <row r="28" spans="1:11" s="190" customFormat="1" ht="26.4" x14ac:dyDescent="0.25">
      <c r="A28" s="225" t="s">
        <v>660</v>
      </c>
      <c r="B28" s="226" t="s">
        <v>661</v>
      </c>
      <c r="C28" s="213" t="str">
        <f>UPPER(VLOOKUP(B28,ANALÍTICA!B:J,2,0))</f>
        <v>PRÓPRIO</v>
      </c>
      <c r="D28" s="213" t="str">
        <f>UPPER(VLOOKUP(B28,ANALÍTICA!B:J,3,0))</f>
        <v>IÇAMENTO DE MÓDULOS FOTOVOLTAICOS PARA A COBERTURA DA EDIFICAÇÃO</v>
      </c>
      <c r="E28" s="214" t="str">
        <f>UPPER(VLOOKUP(B28,ANALÍTICA!B:J,6,0))</f>
        <v>H</v>
      </c>
      <c r="F28" s="228">
        <v>16</v>
      </c>
      <c r="G28" s="215">
        <f>VLOOKUP(B28,ANALÍTICA!B:J,8,0)</f>
        <v>189.89</v>
      </c>
      <c r="H28" s="215">
        <f>TRUNC(G28*(1+J$9),2)</f>
        <v>232.08</v>
      </c>
      <c r="I28" s="215">
        <f>TRUNC(H28*F28,2)</f>
        <v>3713.28</v>
      </c>
      <c r="J28" s="216">
        <f>I28/$I$58</f>
        <v>9.3726436065696729E-3</v>
      </c>
      <c r="K28" s="208" t="str">
        <f>IF(ISBLANK($A28),"",HYPERLINK("#ANALÍTICA!A"&amp;MATCH($A28,ANALÍTICA!A:A,0),"Link"))</f>
        <v>Link</v>
      </c>
    </row>
    <row r="29" spans="1:11" s="190" customFormat="1" x14ac:dyDescent="0.25">
      <c r="A29" s="223" t="s">
        <v>765</v>
      </c>
      <c r="B29" s="223"/>
      <c r="C29" s="223"/>
      <c r="D29" s="223" t="s">
        <v>766</v>
      </c>
      <c r="E29" s="223"/>
      <c r="F29" s="227"/>
      <c r="G29" s="223"/>
      <c r="H29" s="223"/>
      <c r="I29" s="224">
        <f>SUM(I30:I34)</f>
        <v>15274.02</v>
      </c>
      <c r="J29" s="269">
        <f>SUM(J30:J34)</f>
        <v>3.8552962852146162E-2</v>
      </c>
      <c r="K29" s="208" t="str">
        <f>IF(ISBLANK($A29),"",HYPERLINK("#ANALÍTICA!A"&amp;MATCH($A29,ANALÍTICA!A:A,0),"Link"))</f>
        <v>Link</v>
      </c>
    </row>
    <row r="30" spans="1:11" s="190" customFormat="1" ht="39.6" x14ac:dyDescent="0.25">
      <c r="A30" s="225" t="s">
        <v>669</v>
      </c>
      <c r="B30" s="226" t="s">
        <v>670</v>
      </c>
      <c r="C30" s="213" t="str">
        <f>UPPER(VLOOKUP(B30,ANALÍTICA!B:J,2,0))</f>
        <v>PRÓPRIO</v>
      </c>
      <c r="D30" s="213" t="str">
        <f>UPPER(VLOOKUP(B30,ANALÍTICA!B:J,3,0))</f>
        <v>ELETRODUTO EM ACO GALVANIZADO A FOGO (IMERSÃO A QUENTE), PESADO, PAREDE DE 2,25 MM - DIAMETRO NOMINAL 50 (2") - NBR 5624 - INCLUSIVE CONEXOES - FORNECIMENTO E INSTALACAO</v>
      </c>
      <c r="E30" s="214" t="str">
        <f>UPPER(VLOOKUP(B30,ANALÍTICA!B:J,6,0))</f>
        <v>M</v>
      </c>
      <c r="F30" s="228">
        <v>98</v>
      </c>
      <c r="G30" s="215">
        <f>VLOOKUP(B30,ANALÍTICA!B:J,8,0)</f>
        <v>67.41</v>
      </c>
      <c r="H30" s="215">
        <f>TRUNC(G30*(1+J$9),2)</f>
        <v>82.38</v>
      </c>
      <c r="I30" s="215">
        <f>TRUNC(H30*F30,2)</f>
        <v>8073.24</v>
      </c>
      <c r="J30" s="216">
        <f>I30/$I$58</f>
        <v>2.037756411321057E-2</v>
      </c>
      <c r="K30" s="208" t="str">
        <f>IF(ISBLANK($A30),"",HYPERLINK("#ANALÍTICA!A"&amp;MATCH($A30,ANALÍTICA!A:A,0),"Link"))</f>
        <v>Link</v>
      </c>
    </row>
    <row r="31" spans="1:11" s="190" customFormat="1" ht="39.6" x14ac:dyDescent="0.25">
      <c r="A31" s="225" t="s">
        <v>672</v>
      </c>
      <c r="B31" s="226" t="s">
        <v>673</v>
      </c>
      <c r="C31" s="213" t="str">
        <f>UPPER(VLOOKUP(B31,ANALÍTICA!B:J,2,0))</f>
        <v>PRÓPRIO</v>
      </c>
      <c r="D31" s="213" t="str">
        <f>UPPER(VLOOKUP(B31,ANALÍTICA!B:J,3,0))</f>
        <v>ELETROCALHA GALVANIZADA A FOGO, PERFURADA, CHAPA #18 - PAREDE 1,25 MM - DIM. 100 X 100 - INCLUSIVE CONEXÕES E ACESSÓRIOS - FORNECIMENTO E INSTALAÇÃO</v>
      </c>
      <c r="E31" s="214" t="str">
        <f>UPPER(VLOOKUP(B31,ANALÍTICA!B:J,6,0))</f>
        <v>M</v>
      </c>
      <c r="F31" s="228">
        <v>17</v>
      </c>
      <c r="G31" s="215">
        <f>VLOOKUP(B31,ANALÍTICA!B:J,8,0)</f>
        <v>131.71</v>
      </c>
      <c r="H31" s="215">
        <f>TRUNC(G31*(1+J$9),2)</f>
        <v>160.97</v>
      </c>
      <c r="I31" s="215">
        <f>TRUNC(H31*F31,2)</f>
        <v>2736.49</v>
      </c>
      <c r="J31" s="216">
        <f>I31/$I$58</f>
        <v>6.9071401841342001E-3</v>
      </c>
      <c r="K31" s="208" t="str">
        <f>IF(ISBLANK($A31),"",HYPERLINK("#ANALÍTICA!A"&amp;MATCH($A31,ANALÍTICA!A:A,0),"Link"))</f>
        <v>Link</v>
      </c>
    </row>
    <row r="32" spans="1:11" s="190" customFormat="1" ht="39.6" x14ac:dyDescent="0.25">
      <c r="A32" s="225" t="s">
        <v>675</v>
      </c>
      <c r="B32" s="226" t="s">
        <v>676</v>
      </c>
      <c r="C32" s="213" t="str">
        <f>UPPER(VLOOKUP(B32,ANALÍTICA!B:J,2,0))</f>
        <v>PRÓPRIO</v>
      </c>
      <c r="D32" s="213" t="str">
        <f>UPPER(VLOOKUP(B32,ANALÍTICA!B:J,3,0))</f>
        <v>CAIXA DE PASSAGEM METALICA DE SOBREPOR COM TAMPA PARAFUSADA, DIMENSOES 30 X 30 X 10 CM - FORNECIMENTO E INSTALAÇÃO</v>
      </c>
      <c r="E32" s="214" t="str">
        <f>UPPER(VLOOKUP(B32,ANALÍTICA!B:J,6,0))</f>
        <v>UNIDADE</v>
      </c>
      <c r="F32" s="228">
        <v>17</v>
      </c>
      <c r="G32" s="215">
        <f>VLOOKUP(B32,ANALÍTICA!B:J,8,0)</f>
        <v>91.47</v>
      </c>
      <c r="H32" s="215">
        <f>TRUNC(G32*(1+J$9),2)</f>
        <v>111.79</v>
      </c>
      <c r="I32" s="215">
        <f>TRUNC(H32*F32,2)</f>
        <v>1900.43</v>
      </c>
      <c r="J32" s="216">
        <f>I32/$I$58</f>
        <v>4.7968515946099416E-3</v>
      </c>
      <c r="K32" s="208" t="str">
        <f>IF(ISBLANK($A32),"",HYPERLINK("#ANALÍTICA!A"&amp;MATCH($A32,ANALÍTICA!A:A,0),"Link"))</f>
        <v>Link</v>
      </c>
    </row>
    <row r="33" spans="1:11" s="190" customFormat="1" ht="39.6" x14ac:dyDescent="0.25">
      <c r="A33" s="225" t="s">
        <v>678</v>
      </c>
      <c r="B33" s="226" t="s">
        <v>679</v>
      </c>
      <c r="C33" s="213" t="str">
        <f>UPPER(VLOOKUP(B33,ANALÍTICA!B:J,2,0))</f>
        <v>PRÓPRIO</v>
      </c>
      <c r="D33" s="213" t="str">
        <f>UPPER(VLOOKUP(B33,ANALÍTICA!B:J,3,0))</f>
        <v>SUPORTE PARA TUBOS/ DUTOS/ ELETROCALHA HORIZONTAIS (CHUMBADORES, TIRANTES, PERFILADO E ABRAÇADEIRA) - FORNECIMENTO E INSTALAÇÃO</v>
      </c>
      <c r="E33" s="214" t="str">
        <f>UPPER(VLOOKUP(B33,ANALÍTICA!B:J,6,0))</f>
        <v>UN</v>
      </c>
      <c r="F33" s="228">
        <v>12</v>
      </c>
      <c r="G33" s="215">
        <f>VLOOKUP(B33,ANALÍTICA!B:J,8,0)</f>
        <v>51.92</v>
      </c>
      <c r="H33" s="215">
        <f>TRUNC(G33*(1+J$9),2)</f>
        <v>63.45</v>
      </c>
      <c r="I33" s="215">
        <f>TRUNC(H33*F33,2)</f>
        <v>761.4</v>
      </c>
      <c r="J33" s="216">
        <f>I33/$I$58</f>
        <v>1.9218402172855665E-3</v>
      </c>
      <c r="K33" s="208" t="str">
        <f>IF(ISBLANK($A33),"",HYPERLINK("#ANALÍTICA!A"&amp;MATCH($A33,ANALÍTICA!A:A,0),"Link"))</f>
        <v>Link</v>
      </c>
    </row>
    <row r="34" spans="1:11" s="190" customFormat="1" ht="26.4" x14ac:dyDescent="0.25">
      <c r="A34" s="225" t="s">
        <v>681</v>
      </c>
      <c r="B34" s="226" t="s">
        <v>682</v>
      </c>
      <c r="C34" s="213" t="str">
        <f>UPPER(VLOOKUP(B34,ANALÍTICA!B:J,2,0))</f>
        <v>PRÓPRIO</v>
      </c>
      <c r="D34" s="213" t="str">
        <f>UPPER(VLOOKUP(B34,ANALÍTICA!B:J,3,0))</f>
        <v>SUPORTE DE CONCRETO PARA FIXAÇÃO DE INFRAESTRUTURA EM LAJE IMPERMEABILIZADA</v>
      </c>
      <c r="E34" s="214" t="str">
        <f>UPPER(VLOOKUP(B34,ANALÍTICA!B:J,6,0))</f>
        <v>UNIDADE</v>
      </c>
      <c r="F34" s="228">
        <v>66</v>
      </c>
      <c r="G34" s="215">
        <f>VLOOKUP(B34,ANALÍTICA!B:J,8,0)</f>
        <v>22.349999999999998</v>
      </c>
      <c r="H34" s="215">
        <f>TRUNC(G34*(1+J$9),2)</f>
        <v>27.31</v>
      </c>
      <c r="I34" s="215">
        <f>TRUNC(H34*F34,2)</f>
        <v>1802.46</v>
      </c>
      <c r="J34" s="216">
        <f>I34/$I$58</f>
        <v>4.5495667429058875E-3</v>
      </c>
      <c r="K34" s="208" t="str">
        <f>IF(ISBLANK($A34),"",HYPERLINK("#ANALÍTICA!A"&amp;MATCH($A34,ANALÍTICA!A:A,0),"Link"))</f>
        <v>Link</v>
      </c>
    </row>
    <row r="35" spans="1:11" s="190" customFormat="1" x14ac:dyDescent="0.25">
      <c r="A35" s="223" t="s">
        <v>767</v>
      </c>
      <c r="B35" s="223"/>
      <c r="C35" s="223"/>
      <c r="D35" s="223" t="s">
        <v>768</v>
      </c>
      <c r="E35" s="223"/>
      <c r="F35" s="227"/>
      <c r="G35" s="223"/>
      <c r="H35" s="223"/>
      <c r="I35" s="224">
        <f>SUM(I36:I37)</f>
        <v>7388.52</v>
      </c>
      <c r="J35" s="269">
        <f>SUM(J36:J37)</f>
        <v>1.8649270924899861E-2</v>
      </c>
      <c r="K35" s="208" t="str">
        <f>IF(ISBLANK($A35),"",HYPERLINK("#ANALÍTICA!A"&amp;MATCH($A35,ANALÍTICA!A:A,0),"Link"))</f>
        <v>Link</v>
      </c>
    </row>
    <row r="36" spans="1:11" s="190" customFormat="1" ht="26.4" x14ac:dyDescent="0.25">
      <c r="A36" s="225" t="s">
        <v>684</v>
      </c>
      <c r="B36" s="226" t="s">
        <v>685</v>
      </c>
      <c r="C36" s="213" t="str">
        <f>UPPER(VLOOKUP(B36,ANALÍTICA!B:J,2,0))</f>
        <v>PRÓPRIO</v>
      </c>
      <c r="D36" s="213" t="str">
        <f>UPPER(VLOOKUP(B36,ANALÍTICA!B:J,3,0))</f>
        <v>CONJUNTO PARA ATERRAMENTO DE MÓDULO FOTOVOLTAICO - FORNECIMENTO E INSTALAÇÃO</v>
      </c>
      <c r="E36" s="214" t="str">
        <f>UPPER(VLOOKUP(B36,ANALÍTICA!B:J,6,0))</f>
        <v>UNIDADE</v>
      </c>
      <c r="F36" s="228">
        <v>240</v>
      </c>
      <c r="G36" s="215">
        <f>VLOOKUP(B36,ANALÍTICA!B:J,8,0)</f>
        <v>16.75</v>
      </c>
      <c r="H36" s="215">
        <f>TRUNC(G36*(1+J$9),2)</f>
        <v>20.47</v>
      </c>
      <c r="I36" s="215">
        <f>TRUNC(H36*F36,2)</f>
        <v>4912.8</v>
      </c>
      <c r="J36" s="216">
        <f>I36/$I$58</f>
        <v>1.2400337036354783E-2</v>
      </c>
      <c r="K36" s="208" t="str">
        <f>IF(ISBLANK($A36),"",HYPERLINK("#ANALÍTICA!A"&amp;MATCH($A36,ANALÍTICA!A:A,0),"Link"))</f>
        <v>Link</v>
      </c>
    </row>
    <row r="37" spans="1:11" s="190" customFormat="1" ht="26.4" x14ac:dyDescent="0.25">
      <c r="A37" s="225" t="s">
        <v>687</v>
      </c>
      <c r="B37" s="226" t="s">
        <v>688</v>
      </c>
      <c r="C37" s="213" t="str">
        <f>UPPER(VLOOKUP(B37,ANALÍTICA!B:J,2,0))</f>
        <v>PRÓPRIO</v>
      </c>
      <c r="D37" s="213" t="str">
        <f>UPPER(VLOOKUP(B37,ANALÍTICA!B:J,3,0))</f>
        <v>CORDOALHA DE COBRE NU 16 MM² - FORNECIMENTO E INSTALAÇÃO</v>
      </c>
      <c r="E37" s="214" t="str">
        <f>UPPER(VLOOKUP(B37,ANALÍTICA!B:J,6,0))</f>
        <v>METRO</v>
      </c>
      <c r="F37" s="228">
        <v>117</v>
      </c>
      <c r="G37" s="215">
        <f>VLOOKUP(B37,ANALÍTICA!B:J,8,0)</f>
        <v>17.32</v>
      </c>
      <c r="H37" s="215">
        <f>TRUNC(G37*(1+J$9),2)</f>
        <v>21.16</v>
      </c>
      <c r="I37" s="215">
        <f>TRUNC(H37*F37,2)</f>
        <v>2475.7199999999998</v>
      </c>
      <c r="J37" s="216">
        <f>I37/$I$58</f>
        <v>6.2489338885450786E-3</v>
      </c>
      <c r="K37" s="208" t="str">
        <f>IF(ISBLANK($A37),"",HYPERLINK("#ANALÍTICA!A"&amp;MATCH($A37,ANALÍTICA!A:A,0),"Link"))</f>
        <v>Link</v>
      </c>
    </row>
    <row r="38" spans="1:11" s="190" customFormat="1" x14ac:dyDescent="0.25">
      <c r="A38" s="223" t="s">
        <v>769</v>
      </c>
      <c r="B38" s="223"/>
      <c r="C38" s="223"/>
      <c r="D38" s="223" t="s">
        <v>770</v>
      </c>
      <c r="E38" s="223"/>
      <c r="F38" s="227"/>
      <c r="G38" s="223"/>
      <c r="H38" s="223"/>
      <c r="I38" s="224">
        <f>SUM(I39)</f>
        <v>9330.77</v>
      </c>
      <c r="J38" s="269">
        <f>SUM(J39)</f>
        <v>2.3551679858473399E-2</v>
      </c>
      <c r="K38" s="208" t="str">
        <f>IF(ISBLANK($A38),"",HYPERLINK("#ANALÍTICA!A"&amp;MATCH($A38,ANALÍTICA!A:A,0),"Link"))</f>
        <v>Link</v>
      </c>
    </row>
    <row r="39" spans="1:11" s="190" customFormat="1" ht="26.4" x14ac:dyDescent="0.25">
      <c r="A39" s="225" t="s">
        <v>691</v>
      </c>
      <c r="B39" s="226" t="s">
        <v>692</v>
      </c>
      <c r="C39" s="213" t="str">
        <f>UPPER(VLOOKUP(B39,ANALÍTICA!B:J,2,0))</f>
        <v>PRÓPRIO</v>
      </c>
      <c r="D39" s="213" t="str">
        <f>UPPER(VLOOKUP(B39,ANALÍTICA!B:J,3,0))</f>
        <v>QUADRO CA PARA 2 INVERSORES - FORNECIMENTO E INSTALAÇÃO</v>
      </c>
      <c r="E39" s="214" t="str">
        <f>UPPER(VLOOKUP(B39,ANALÍTICA!B:J,6,0))</f>
        <v>UNIDADE</v>
      </c>
      <c r="F39" s="228">
        <v>1</v>
      </c>
      <c r="G39" s="215">
        <f>VLOOKUP(B39,ANALÍTICA!B:J,8,0)</f>
        <v>7634.41</v>
      </c>
      <c r="H39" s="215">
        <f>TRUNC(G39*(1+J$9),2)</f>
        <v>9330.77</v>
      </c>
      <c r="I39" s="215">
        <f>TRUNC(H39*F39,2)</f>
        <v>9330.77</v>
      </c>
      <c r="J39" s="216">
        <f>I39/$I$58</f>
        <v>2.3551679858473399E-2</v>
      </c>
      <c r="K39" s="208" t="str">
        <f>IF(ISBLANK($A39),"",HYPERLINK("#ANALÍTICA!A"&amp;MATCH($A39,ANALÍTICA!A:A,0),"Link"))</f>
        <v>Link</v>
      </c>
    </row>
    <row r="40" spans="1:11" s="190" customFormat="1" x14ac:dyDescent="0.25">
      <c r="A40" s="223" t="s">
        <v>771</v>
      </c>
      <c r="B40" s="223"/>
      <c r="C40" s="223"/>
      <c r="D40" s="223" t="s">
        <v>772</v>
      </c>
      <c r="E40" s="223"/>
      <c r="F40" s="227"/>
      <c r="G40" s="223"/>
      <c r="H40" s="223"/>
      <c r="I40" s="224">
        <f>SUM(I41)</f>
        <v>2729.79</v>
      </c>
      <c r="J40" s="269">
        <f>SUM(J41)</f>
        <v>6.8902287979300848E-3</v>
      </c>
      <c r="K40" s="208" t="str">
        <f>IF(ISBLANK($A40),"",HYPERLINK("#ANALÍTICA!A"&amp;MATCH($A40,ANALÍTICA!A:A,0),"Link"))</f>
        <v>Link</v>
      </c>
    </row>
    <row r="41" spans="1:11" s="190" customFormat="1" ht="26.4" x14ac:dyDescent="0.25">
      <c r="A41" s="225" t="s">
        <v>700</v>
      </c>
      <c r="B41" s="226" t="s">
        <v>701</v>
      </c>
      <c r="C41" s="213" t="str">
        <f>UPPER(VLOOKUP(B41,ANALÍTICA!B:J,2,0))</f>
        <v>PRÓPRIO</v>
      </c>
      <c r="D41" s="213" t="str">
        <f>UPPER(VLOOKUP(B41,ANALÍTICA!B:J,3,0))</f>
        <v>CONEXÃO DE QUADRO CA PARA 2 INVERSORES</v>
      </c>
      <c r="E41" s="214" t="str">
        <f>UPPER(VLOOKUP(B41,ANALÍTICA!B:J,6,0))</f>
        <v>METRO</v>
      </c>
      <c r="F41" s="228">
        <v>9</v>
      </c>
      <c r="G41" s="215">
        <f>VLOOKUP(B41,ANALÍTICA!B:J,8,0)</f>
        <v>248.17000000000002</v>
      </c>
      <c r="H41" s="215">
        <f>TRUNC(G41*(1+J$9),2)</f>
        <v>303.31</v>
      </c>
      <c r="I41" s="215">
        <f>TRUNC(H41*F41,2)</f>
        <v>2729.79</v>
      </c>
      <c r="J41" s="216">
        <f>I41/$I$58</f>
        <v>6.8902287979300848E-3</v>
      </c>
      <c r="K41" s="208" t="str">
        <f>IF(ISBLANK($A41),"",HYPERLINK("#ANALÍTICA!A"&amp;MATCH($A41,ANALÍTICA!A:A,0),"Link"))</f>
        <v>Link</v>
      </c>
    </row>
    <row r="42" spans="1:11" s="190" customFormat="1" x14ac:dyDescent="0.25">
      <c r="A42" s="223" t="s">
        <v>773</v>
      </c>
      <c r="B42" s="223"/>
      <c r="C42" s="223"/>
      <c r="D42" s="223" t="s">
        <v>774</v>
      </c>
      <c r="E42" s="223"/>
      <c r="F42" s="227"/>
      <c r="G42" s="223"/>
      <c r="H42" s="223"/>
      <c r="I42" s="224">
        <f>SUM(I43:I45)</f>
        <v>2069.5100000000002</v>
      </c>
      <c r="J42" s="269">
        <f>SUM(J43:J45)</f>
        <v>5.2236243079520003E-3</v>
      </c>
      <c r="K42" s="208" t="str">
        <f>IF(ISBLANK($A42),"",HYPERLINK("#ANALÍTICA!A"&amp;MATCH($A42,ANALÍTICA!A:A,0),"Link"))</f>
        <v>Link</v>
      </c>
    </row>
    <row r="43" spans="1:11" s="190" customFormat="1" ht="26.4" x14ac:dyDescent="0.25">
      <c r="A43" s="225" t="s">
        <v>705</v>
      </c>
      <c r="B43" s="226" t="s">
        <v>706</v>
      </c>
      <c r="C43" s="213" t="str">
        <f>UPPER(VLOOKUP(B43,ANALÍTICA!B:J,2,0))</f>
        <v>PRÓPRIO</v>
      </c>
      <c r="D43" s="213" t="str">
        <f>UPPER(VLOOKUP(B43,ANALÍTICA!B:J,3,0))</f>
        <v>CONDUTORES DE CONEXÃO DO COMANDO DO SFCR COM O GRUPO MOTOR-GERADOR - FORNECIMENTO E INSTALAÇÃO</v>
      </c>
      <c r="E43" s="214" t="str">
        <f>UPPER(VLOOKUP(B43,ANALÍTICA!B:J,6,0))</f>
        <v>METRO</v>
      </c>
      <c r="F43" s="228">
        <v>112</v>
      </c>
      <c r="G43" s="215">
        <f>VLOOKUP(B43,ANALÍTICA!B:J,8,0)</f>
        <v>10.36</v>
      </c>
      <c r="H43" s="215">
        <f>TRUNC(G43*(1+J$9),2)</f>
        <v>12.66</v>
      </c>
      <c r="I43" s="215">
        <f>TRUNC(H43*F43,2)</f>
        <v>1417.92</v>
      </c>
      <c r="J43" s="216">
        <f>I43/$I$58</f>
        <v>3.5789541382894021E-3</v>
      </c>
      <c r="K43" s="208" t="str">
        <f>IF(ISBLANK($A43),"",HYPERLINK("#ANALÍTICA!A"&amp;MATCH($A43,ANALÍTICA!A:A,0),"Link"))</f>
        <v>Link</v>
      </c>
    </row>
    <row r="44" spans="1:11" s="190" customFormat="1" ht="26.4" x14ac:dyDescent="0.25">
      <c r="A44" s="225" t="s">
        <v>708</v>
      </c>
      <c r="B44" s="226" t="s">
        <v>709</v>
      </c>
      <c r="C44" s="213" t="str">
        <f>UPPER(VLOOKUP(B44,ANALÍTICA!B:J,2,0))</f>
        <v>PRÓPRIO</v>
      </c>
      <c r="D44" s="213" t="str">
        <f>UPPER(VLOOKUP(B44,ANALÍTICA!B:J,3,0))</f>
        <v>CONTATOR DE INTERFACE DO SFCR COM O GRUPO MOTOR-GERADOR - FORNECIMENTO E INSTALAÇÃO</v>
      </c>
      <c r="E44" s="214" t="str">
        <f>UPPER(VLOOKUP(B44,ANALÍTICA!B:J,6,0))</f>
        <v>UNIDADE</v>
      </c>
      <c r="F44" s="228">
        <v>1</v>
      </c>
      <c r="G44" s="215">
        <f>VLOOKUP(B44,ANALÍTICA!B:J,8,0)</f>
        <v>207.46000000000004</v>
      </c>
      <c r="H44" s="215">
        <f>TRUNC(G44*(1+J$9),2)</f>
        <v>253.55</v>
      </c>
      <c r="I44" s="215">
        <f>TRUNC(H44*F44,2)</f>
        <v>253.55</v>
      </c>
      <c r="J44" s="216">
        <f>I44/$I$58</f>
        <v>6.3998238388856773E-4</v>
      </c>
      <c r="K44" s="208" t="str">
        <f>IF(ISBLANK($A44),"",HYPERLINK("#ANALÍTICA!A"&amp;MATCH($A44,ANALÍTICA!A:A,0),"Link"))</f>
        <v>Link</v>
      </c>
    </row>
    <row r="45" spans="1:11" s="190" customFormat="1" ht="26.4" x14ac:dyDescent="0.25">
      <c r="A45" s="225" t="s">
        <v>711</v>
      </c>
      <c r="B45" s="226" t="s">
        <v>712</v>
      </c>
      <c r="C45" s="213" t="str">
        <f>UPPER(VLOOKUP(B45,ANALÍTICA!B:J,2,0))</f>
        <v>PRÓPRIO</v>
      </c>
      <c r="D45" s="213" t="str">
        <f>UPPER(VLOOKUP(B45,ANALÍTICA!B:J,3,0))</f>
        <v>ABERTURA E RECOMPOSIÇÃO DE VISITA EM FORRO DE GESSO</v>
      </c>
      <c r="E45" s="214" t="str">
        <f>UPPER(VLOOKUP(B45,ANALÍTICA!B:J,6,0))</f>
        <v>UNIDADE</v>
      </c>
      <c r="F45" s="228">
        <v>4</v>
      </c>
      <c r="G45" s="215">
        <f>VLOOKUP(B45,ANALÍTICA!B:J,8,0)</f>
        <v>81.42</v>
      </c>
      <c r="H45" s="215">
        <f>TRUNC(G45*(1+J$9),2)</f>
        <v>99.51</v>
      </c>
      <c r="I45" s="215">
        <f>TRUNC(H45*F45,2)</f>
        <v>398.04</v>
      </c>
      <c r="J45" s="216">
        <f>I45/$I$58</f>
        <v>1.0046877857740307E-3</v>
      </c>
      <c r="K45" s="208" t="str">
        <f>IF(ISBLANK($A45),"",HYPERLINK("#ANALÍTICA!A"&amp;MATCH($A45,ANALÍTICA!A:A,0),"Link"))</f>
        <v>Link</v>
      </c>
    </row>
    <row r="46" spans="1:11" s="190" customFormat="1" x14ac:dyDescent="0.25">
      <c r="A46" s="223" t="s">
        <v>775</v>
      </c>
      <c r="B46" s="223"/>
      <c r="C46" s="223"/>
      <c r="D46" s="223" t="s">
        <v>776</v>
      </c>
      <c r="E46" s="223"/>
      <c r="F46" s="227"/>
      <c r="G46" s="223"/>
      <c r="H46" s="223"/>
      <c r="I46" s="224">
        <f>SUM(I47)</f>
        <v>6100.41</v>
      </c>
      <c r="J46" s="269">
        <f>SUM(J47)</f>
        <v>1.5397968584096458E-2</v>
      </c>
      <c r="K46" s="208" t="str">
        <f>IF(ISBLANK($A46),"",HYPERLINK("#ANALÍTICA!A"&amp;MATCH($A46,ANALÍTICA!A:A,0),"Link"))</f>
        <v>Link</v>
      </c>
    </row>
    <row r="47" spans="1:11" s="190" customFormat="1" ht="26.4" x14ac:dyDescent="0.25">
      <c r="A47" s="225" t="s">
        <v>716</v>
      </c>
      <c r="B47" s="226" t="s">
        <v>717</v>
      </c>
      <c r="C47" s="213" t="str">
        <f>UPPER(VLOOKUP(B47,ANALÍTICA!B:J,2,0))</f>
        <v>PRÓPRIO</v>
      </c>
      <c r="D47" s="213" t="str">
        <f>UPPER(VLOOKUP(B47,ANALÍTICA!B:J,3,0))</f>
        <v>COMISSIONAMENTO DE SFCR</v>
      </c>
      <c r="E47" s="214" t="str">
        <f>UPPER(VLOOKUP(B47,ANALÍTICA!B:J,6,0))</f>
        <v>KWP</v>
      </c>
      <c r="F47" s="228">
        <v>81.599999999999994</v>
      </c>
      <c r="G47" s="215">
        <f>VLOOKUP(B47,ANALÍTICA!B:J,8,0)</f>
        <v>61.17</v>
      </c>
      <c r="H47" s="215">
        <f>TRUNC(G47*(1+J$9),2)</f>
        <v>74.760000000000005</v>
      </c>
      <c r="I47" s="215">
        <f>TRUNC(H47*F47,2)</f>
        <v>6100.41</v>
      </c>
      <c r="J47" s="216">
        <f>I47/$I$58</f>
        <v>1.5397968584096458E-2</v>
      </c>
      <c r="K47" s="208" t="str">
        <f>IF(ISBLANK($A47),"",HYPERLINK("#ANALÍTICA!A"&amp;MATCH($A47,ANALÍTICA!A:A,0),"Link"))</f>
        <v>Link</v>
      </c>
    </row>
    <row r="48" spans="1:11" s="190" customFormat="1" x14ac:dyDescent="0.25">
      <c r="A48" s="223" t="s">
        <v>777</v>
      </c>
      <c r="B48" s="223"/>
      <c r="C48" s="223"/>
      <c r="D48" s="223" t="s">
        <v>722</v>
      </c>
      <c r="E48" s="223"/>
      <c r="F48" s="227"/>
      <c r="G48" s="223"/>
      <c r="H48" s="223"/>
      <c r="I48" s="224">
        <f>SUM(I49)</f>
        <v>1809.83</v>
      </c>
      <c r="J48" s="269">
        <f>SUM(J49)</f>
        <v>4.5681692677304138E-3</v>
      </c>
      <c r="K48" s="208" t="str">
        <f>IF(ISBLANK($A48),"",HYPERLINK("#ANALÍTICA!A"&amp;MATCH($A48,ANALÍTICA!A:A,0),"Link"))</f>
        <v>Link</v>
      </c>
    </row>
    <row r="49" spans="1:11" s="190" customFormat="1" ht="26.4" x14ac:dyDescent="0.25">
      <c r="A49" s="225" t="s">
        <v>720</v>
      </c>
      <c r="B49" s="226" t="s">
        <v>721</v>
      </c>
      <c r="C49" s="213" t="str">
        <f>UPPER(VLOOKUP(B49,ANALÍTICA!B:J,2,0))</f>
        <v>PRÓPRIO</v>
      </c>
      <c r="D49" s="213" t="str">
        <f>UPPER(VLOOKUP(B49,ANALÍTICA!B:J,3,0))</f>
        <v>AS BUILT</v>
      </c>
      <c r="E49" s="214" t="str">
        <f>UPPER(VLOOKUP(B49,ANALÍTICA!B:J,6,0))</f>
        <v>UNIDADE</v>
      </c>
      <c r="F49" s="228">
        <v>1</v>
      </c>
      <c r="G49" s="215">
        <f>VLOOKUP(B49,ANALÍTICA!B:J,8,0)</f>
        <v>1480.8</v>
      </c>
      <c r="H49" s="215">
        <f>TRUNC(G49*(1+J$9),2)</f>
        <v>1809.83</v>
      </c>
      <c r="I49" s="215">
        <f>TRUNC(H49*F49,2)</f>
        <v>1809.83</v>
      </c>
      <c r="J49" s="216">
        <f>I49/$I$58</f>
        <v>4.5681692677304138E-3</v>
      </c>
      <c r="K49" s="208" t="str">
        <f>IF(ISBLANK($A49),"",HYPERLINK("#ANALÍTICA!A"&amp;MATCH($A49,ANALÍTICA!A:A,0),"Link"))</f>
        <v>Link</v>
      </c>
    </row>
    <row r="50" spans="1:11" s="190" customFormat="1" x14ac:dyDescent="0.25">
      <c r="A50" s="217" t="s">
        <v>778</v>
      </c>
      <c r="B50" s="203"/>
      <c r="C50" s="203"/>
      <c r="D50" s="217" t="s">
        <v>779</v>
      </c>
      <c r="E50" s="203"/>
      <c r="F50" s="204"/>
      <c r="G50" s="205"/>
      <c r="H50" s="205"/>
      <c r="I50" s="206">
        <f>SUM(I51)</f>
        <v>21571.200000000001</v>
      </c>
      <c r="J50" s="207">
        <f>SUM(J51)</f>
        <v>5.444759613227005E-2</v>
      </c>
      <c r="K50" s="208" t="str">
        <f>IF(ISBLANK($A50),"",HYPERLINK("#ANALÍTICA!A"&amp;MATCH($A50,ANALÍTICA!A:A,0),"Link"))</f>
        <v>Link</v>
      </c>
    </row>
    <row r="51" spans="1:11" s="190" customFormat="1" x14ac:dyDescent="0.25">
      <c r="A51" s="223" t="s">
        <v>780</v>
      </c>
      <c r="B51" s="223"/>
      <c r="C51" s="223"/>
      <c r="D51" s="223" t="s">
        <v>781</v>
      </c>
      <c r="E51" s="223"/>
      <c r="F51" s="227"/>
      <c r="G51" s="223"/>
      <c r="H51" s="223"/>
      <c r="I51" s="224">
        <f>SUM(I52)</f>
        <v>21571.200000000001</v>
      </c>
      <c r="J51" s="269">
        <f>SUM(J52)</f>
        <v>5.444759613227005E-2</v>
      </c>
      <c r="K51" s="208" t="str">
        <f>IF(ISBLANK($A51),"",HYPERLINK("#ANALÍTICA!A"&amp;MATCH($A51,ANALÍTICA!A:A,0),"Link"))</f>
        <v>Link</v>
      </c>
    </row>
    <row r="52" spans="1:11" s="190" customFormat="1" x14ac:dyDescent="0.25">
      <c r="A52" s="225" t="s">
        <v>723</v>
      </c>
      <c r="B52" s="226" t="s">
        <v>650</v>
      </c>
      <c r="C52" s="213" t="s">
        <v>10</v>
      </c>
      <c r="D52" s="213" t="s">
        <v>651</v>
      </c>
      <c r="E52" s="214" t="s">
        <v>28</v>
      </c>
      <c r="F52" s="228">
        <v>160</v>
      </c>
      <c r="G52" s="215">
        <f>VLOOKUP(B52,ANALÍTICA!B:J,8,0)</f>
        <v>110.31</v>
      </c>
      <c r="H52" s="215">
        <f>TRUNC(G52*(1+J$9),2)</f>
        <v>134.82</v>
      </c>
      <c r="I52" s="215">
        <f>TRUNC(H52*F52,2)</f>
        <v>21571.200000000001</v>
      </c>
      <c r="J52" s="216">
        <f>I52/$I$58</f>
        <v>5.444759613227005E-2</v>
      </c>
      <c r="K52" s="208" t="str">
        <f>IF(ISBLANK($A52),"",HYPERLINK("#ANALÍTICA!A"&amp;MATCH($A52,ANALÍTICA!A:A,0),"Link"))</f>
        <v>Link</v>
      </c>
    </row>
    <row r="53" spans="1:11" x14ac:dyDescent="0.25">
      <c r="A53" s="323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1" ht="30" customHeight="1" x14ac:dyDescent="0.25">
      <c r="A54" s="326" t="s">
        <v>180</v>
      </c>
      <c r="B54" s="327"/>
      <c r="C54" s="327"/>
      <c r="D54" s="327"/>
      <c r="E54" s="327"/>
      <c r="F54" s="327"/>
      <c r="G54" s="327"/>
      <c r="H54" s="328"/>
      <c r="I54" s="324">
        <v>396182.78000000009</v>
      </c>
      <c r="J54" s="325"/>
    </row>
    <row r="55" spans="1:11" ht="20.100000000000001" customHeight="1" x14ac:dyDescent="0.25">
      <c r="A55" s="323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1" ht="30" customHeight="1" x14ac:dyDescent="0.25">
      <c r="A56" s="331" t="s">
        <v>181</v>
      </c>
      <c r="B56" s="332"/>
      <c r="C56" s="332"/>
      <c r="D56" s="332"/>
      <c r="E56" s="332"/>
      <c r="F56" s="332"/>
      <c r="G56" s="332"/>
      <c r="H56" s="333"/>
      <c r="I56" s="329">
        <v>0</v>
      </c>
      <c r="J56" s="330"/>
    </row>
    <row r="57" spans="1:11" ht="20.100000000000001" customHeight="1" x14ac:dyDescent="0.25">
      <c r="A57" s="323"/>
      <c r="B57" s="323"/>
      <c r="C57" s="323"/>
      <c r="D57" s="323"/>
      <c r="E57" s="323"/>
      <c r="F57" s="323"/>
      <c r="G57" s="323"/>
      <c r="H57" s="323"/>
      <c r="I57" s="323"/>
      <c r="J57" s="323"/>
    </row>
    <row r="58" spans="1:11" ht="30" customHeight="1" x14ac:dyDescent="0.25">
      <c r="A58" s="336" t="s">
        <v>182</v>
      </c>
      <c r="B58" s="337"/>
      <c r="C58" s="337"/>
      <c r="D58" s="337"/>
      <c r="E58" s="337"/>
      <c r="F58" s="337"/>
      <c r="G58" s="337"/>
      <c r="H58" s="338"/>
      <c r="I58" s="334">
        <f>SUM(A56:J57,I14,I22,I50)</f>
        <v>396182.78000000009</v>
      </c>
      <c r="J58" s="335"/>
    </row>
    <row r="59" spans="1:11" ht="20.100000000000001" customHeight="1" x14ac:dyDescent="0.25">
      <c r="A59" s="340"/>
      <c r="B59" s="340"/>
      <c r="C59" s="340"/>
      <c r="D59" s="340"/>
      <c r="E59" s="340"/>
      <c r="F59" s="340"/>
      <c r="G59" s="340"/>
      <c r="H59" s="340"/>
      <c r="I59" s="340"/>
      <c r="J59" s="340"/>
    </row>
    <row r="60" spans="1:11" ht="30" customHeight="1" x14ac:dyDescent="0.25">
      <c r="A60" s="342" t="s">
        <v>183</v>
      </c>
      <c r="B60" s="342"/>
      <c r="C60" s="342"/>
      <c r="D60" s="342"/>
      <c r="E60" s="342"/>
      <c r="F60" s="342"/>
      <c r="G60" s="342"/>
      <c r="H60" s="342"/>
      <c r="I60" s="341">
        <f>(I54-I58)/I54</f>
        <v>0</v>
      </c>
      <c r="J60" s="341"/>
    </row>
    <row r="61" spans="1:11" s="190" customFormat="1" ht="20.100000000000001" customHeight="1" x14ac:dyDescent="0.25">
      <c r="A61" s="339" t="s">
        <v>330</v>
      </c>
      <c r="B61" s="339"/>
      <c r="C61" s="339"/>
      <c r="D61" s="339"/>
      <c r="E61" s="339"/>
      <c r="F61" s="339"/>
      <c r="G61" s="339"/>
      <c r="H61" s="339"/>
      <c r="I61" s="339"/>
      <c r="J61" s="339"/>
    </row>
  </sheetData>
  <sheetProtection algorithmName="SHA-512" hashValue="CPLSGDCS2KzPvEou3Ov8GUnebhxDuBTvYZ78j72GI1rhyT4bTdL6CpMXlt9+nlQZxW+A2QxbQblolf/gg7CH2g==" saltValue="I+saiBjjGF/OMsPfZmQW2w==" spinCount="100000" sheet="1" objects="1" scenarios="1"/>
  <mergeCells count="23">
    <mergeCell ref="A57:J57"/>
    <mergeCell ref="I58:J58"/>
    <mergeCell ref="A58:H58"/>
    <mergeCell ref="A61:J61"/>
    <mergeCell ref="A59:J59"/>
    <mergeCell ref="I60:J60"/>
    <mergeCell ref="A60:H60"/>
    <mergeCell ref="A53:J53"/>
    <mergeCell ref="I54:J54"/>
    <mergeCell ref="A54:H54"/>
    <mergeCell ref="A55:J55"/>
    <mergeCell ref="I56:J56"/>
    <mergeCell ref="A56:H56"/>
    <mergeCell ref="E9:I9"/>
    <mergeCell ref="E10:I10"/>
    <mergeCell ref="A4:J4"/>
    <mergeCell ref="A5:J5"/>
    <mergeCell ref="A7:J7"/>
    <mergeCell ref="A1:J1"/>
    <mergeCell ref="A2:J2"/>
    <mergeCell ref="A3:J3"/>
    <mergeCell ref="A6:J6"/>
    <mergeCell ref="E8:I8"/>
  </mergeCells>
  <pageMargins left="0.78740157480314965" right="0.78740157480314965" top="0.78740157480314965" bottom="0.78740157480314965" header="0.51181102362204722" footer="0.51181102362204722"/>
  <pageSetup paperSize="9" scale="64" fitToHeight="0" orientation="landscape" r:id="rId1"/>
  <headerFooter>
    <oddHeader xml:space="preserve">&amp;L </oddHeader>
    <oddFooter>&amp;L 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AD280"/>
  <sheetViews>
    <sheetView showGridLines="0" showOutlineSymbols="0" showWhiteSpace="0" view="pageBreakPreview" topLeftCell="A106" zoomScaleNormal="100" zoomScaleSheetLayoutView="100" workbookViewId="0">
      <selection activeCell="D124" sqref="D124"/>
    </sheetView>
  </sheetViews>
  <sheetFormatPr defaultColWidth="9" defaultRowHeight="13.8" x14ac:dyDescent="0.25"/>
  <cols>
    <col min="1" max="1" width="10" style="110" bestFit="1" customWidth="1"/>
    <col min="2" max="2" width="12" style="110" bestFit="1" customWidth="1"/>
    <col min="3" max="3" width="10" style="110" bestFit="1" customWidth="1"/>
    <col min="4" max="4" width="60" style="110" bestFit="1" customWidth="1"/>
    <col min="5" max="5" width="15" style="110" bestFit="1" customWidth="1"/>
    <col min="6" max="8" width="12" style="110" bestFit="1" customWidth="1"/>
    <col min="9" max="9" width="13" style="110" bestFit="1" customWidth="1"/>
    <col min="10" max="10" width="14" style="110" bestFit="1" customWidth="1"/>
    <col min="11" max="11" width="9" style="55"/>
    <col min="12" max="12" width="10.59765625" style="113" hidden="1" customWidth="1"/>
    <col min="13" max="18" width="10.59765625" style="88" hidden="1" customWidth="1"/>
    <col min="19" max="29" width="0" style="88" hidden="1" customWidth="1"/>
    <col min="30" max="16384" width="9" style="110"/>
  </cols>
  <sheetData>
    <row r="1" spans="1:30" ht="15" customHeight="1" x14ac:dyDescent="0.25">
      <c r="A1" s="317"/>
      <c r="B1" s="317"/>
      <c r="C1" s="317"/>
      <c r="D1" s="317"/>
      <c r="E1" s="317"/>
      <c r="F1" s="317"/>
      <c r="G1" s="317"/>
      <c r="H1" s="317"/>
      <c r="I1" s="317"/>
      <c r="J1" s="317"/>
      <c r="P1" s="351"/>
      <c r="Q1" s="351"/>
      <c r="W1" s="351"/>
      <c r="X1" s="351"/>
    </row>
    <row r="2" spans="1:30" ht="15" customHeight="1" x14ac:dyDescent="0.25">
      <c r="A2" s="318" t="str">
        <f>INSTRUÇÕES!A2</f>
        <v>PROCURADORIA GERAL DA REPÚBLICA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30" ht="15" customHeight="1" x14ac:dyDescent="0.25">
      <c r="A3" s="318" t="str">
        <f>INSTRUÇÕES!A3</f>
        <v>SECRETARIA DE ENGENHARIA E ARQUITETURA</v>
      </c>
      <c r="B3" s="318"/>
      <c r="C3" s="318"/>
      <c r="D3" s="318"/>
      <c r="E3" s="318"/>
      <c r="F3" s="318"/>
      <c r="G3" s="318"/>
      <c r="H3" s="318"/>
      <c r="I3" s="318"/>
      <c r="J3" s="318"/>
      <c r="P3" s="351"/>
      <c r="Q3" s="351"/>
      <c r="W3" s="351"/>
      <c r="X3" s="351"/>
    </row>
    <row r="4" spans="1:30" ht="15" customHeight="1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</row>
    <row r="5" spans="1:30" ht="15" customHeight="1" x14ac:dyDescent="0.25">
      <c r="A5" s="357" t="str">
        <f>INSTRUÇÕES!A6</f>
        <v>OBRA: SFCR DA ESMPU - 2021</v>
      </c>
      <c r="B5" s="357"/>
      <c r="C5" s="357"/>
      <c r="D5" s="357"/>
      <c r="E5" s="357"/>
      <c r="F5" s="357"/>
      <c r="G5" s="357"/>
      <c r="H5" s="357"/>
      <c r="I5" s="357"/>
      <c r="J5" s="357"/>
      <c r="P5" s="351"/>
      <c r="Q5" s="351"/>
      <c r="W5" s="351"/>
      <c r="X5" s="351"/>
    </row>
    <row r="6" spans="1:30" ht="24.9" customHeight="1" x14ac:dyDescent="0.25">
      <c r="A6" s="358" t="s">
        <v>177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30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30" ht="15" customHeight="1" x14ac:dyDescent="0.25">
      <c r="A8" s="55"/>
      <c r="B8" s="55"/>
      <c r="C8" s="55"/>
      <c r="D8" s="55"/>
      <c r="E8" s="359" t="str">
        <f>SINTÉTICA!$E$8</f>
        <v>LEIS SOCIAIS NÃO DESONERADAS - REFERÊNCIA HORISTA SINAPI: LS</v>
      </c>
      <c r="F8" s="359"/>
      <c r="G8" s="359"/>
      <c r="H8" s="359"/>
      <c r="I8" s="359"/>
      <c r="J8" s="181">
        <f>SINTÉTICA!$J$8</f>
        <v>1.1369</v>
      </c>
    </row>
    <row r="9" spans="1:30" ht="15" customHeight="1" x14ac:dyDescent="0.25">
      <c r="A9" s="55"/>
      <c r="B9" s="55"/>
      <c r="C9" s="55"/>
      <c r="D9" s="55"/>
      <c r="E9" s="359" t="str">
        <f>SINTÉTICA!$E$9</f>
        <v>BENEFÍCIOS E DESPESAS INDIRETAS: BDI</v>
      </c>
      <c r="F9" s="359"/>
      <c r="G9" s="359"/>
      <c r="H9" s="359"/>
      <c r="I9" s="359"/>
      <c r="J9" s="182">
        <f>BDI!D23</f>
        <v>0.22220000000000001</v>
      </c>
    </row>
    <row r="10" spans="1:30" ht="15" customHeight="1" x14ac:dyDescent="0.25">
      <c r="A10" s="55"/>
      <c r="B10" s="55"/>
      <c r="C10" s="55"/>
      <c r="D10" s="55"/>
      <c r="E10" s="359" t="str">
        <f>SINTÉTICA!$E$10</f>
        <v>REFERÊNCIA: SINAPI - DF - 06/21 (NÃO DESONERADA)</v>
      </c>
      <c r="F10" s="359"/>
      <c r="G10" s="359"/>
      <c r="H10" s="359"/>
      <c r="I10" s="359"/>
      <c r="J10" s="60"/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62"/>
    </row>
    <row r="11" spans="1:30" ht="15" customHeight="1" x14ac:dyDescent="0.2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L11" s="89"/>
      <c r="M11" s="89"/>
      <c r="N11" s="89"/>
      <c r="O11" s="89"/>
      <c r="P11" s="89"/>
      <c r="Q11" s="89"/>
      <c r="R11" s="89"/>
      <c r="S11" s="89"/>
      <c r="T11" s="89">
        <v>20</v>
      </c>
      <c r="U11" s="89">
        <v>21</v>
      </c>
      <c r="V11" s="89">
        <v>22</v>
      </c>
      <c r="W11" s="89">
        <v>23</v>
      </c>
      <c r="X11" s="89">
        <v>24</v>
      </c>
      <c r="Y11" s="89">
        <v>25</v>
      </c>
      <c r="Z11" s="89">
        <v>26</v>
      </c>
      <c r="AA11" s="89">
        <v>27</v>
      </c>
      <c r="AB11" s="89">
        <v>28</v>
      </c>
      <c r="AC11" s="89">
        <v>29</v>
      </c>
      <c r="AD11" s="62"/>
    </row>
    <row r="12" spans="1:30" ht="30" customHeight="1" x14ac:dyDescent="0.25">
      <c r="A12" s="118" t="s">
        <v>153</v>
      </c>
      <c r="B12" s="118" t="s">
        <v>166</v>
      </c>
      <c r="C12" s="118" t="s">
        <v>167</v>
      </c>
      <c r="D12" s="118" t="s">
        <v>154</v>
      </c>
      <c r="E12" s="360" t="s">
        <v>178</v>
      </c>
      <c r="F12" s="360"/>
      <c r="G12" s="118" t="s">
        <v>168</v>
      </c>
      <c r="H12" s="118" t="s">
        <v>169</v>
      </c>
      <c r="I12" s="118" t="s">
        <v>170</v>
      </c>
      <c r="J12" s="118" t="s">
        <v>161</v>
      </c>
      <c r="L12" s="91" t="s">
        <v>86</v>
      </c>
      <c r="M12" s="92" t="s">
        <v>85</v>
      </c>
      <c r="N12" s="92" t="s">
        <v>83</v>
      </c>
      <c r="O12" s="92" t="s">
        <v>84</v>
      </c>
      <c r="P12" s="93" t="s">
        <v>87</v>
      </c>
      <c r="Q12" s="92" t="s">
        <v>88</v>
      </c>
      <c r="R12" s="94" t="s">
        <v>89</v>
      </c>
      <c r="S12" s="90"/>
      <c r="T12" s="95"/>
      <c r="U12" s="119" t="s">
        <v>1</v>
      </c>
      <c r="V12" s="119" t="s">
        <v>2</v>
      </c>
      <c r="W12" s="119" t="s">
        <v>3</v>
      </c>
      <c r="X12" s="343" t="s">
        <v>19</v>
      </c>
      <c r="Y12" s="343"/>
      <c r="Z12" s="119" t="s">
        <v>4</v>
      </c>
      <c r="AA12" s="119" t="s">
        <v>5</v>
      </c>
      <c r="AB12" s="119"/>
      <c r="AC12" s="96"/>
      <c r="AD12" s="62"/>
    </row>
    <row r="13" spans="1:30" x14ac:dyDescent="0.25">
      <c r="A13" s="355"/>
      <c r="B13" s="355"/>
      <c r="C13" s="355"/>
      <c r="D13" s="355"/>
      <c r="E13" s="355"/>
      <c r="F13" s="355"/>
      <c r="G13" s="355"/>
      <c r="H13" s="355"/>
      <c r="I13" s="355"/>
      <c r="J13" s="355"/>
      <c r="L13" s="89">
        <v>1</v>
      </c>
      <c r="M13" s="90"/>
      <c r="N13" s="90"/>
      <c r="O13" s="90"/>
      <c r="P13" s="90"/>
      <c r="Q13" s="90"/>
      <c r="R13" s="90"/>
      <c r="S13" s="90"/>
      <c r="T13" s="75" t="s">
        <v>20</v>
      </c>
      <c r="U13" s="63">
        <v>88239</v>
      </c>
      <c r="V13" s="115" t="s">
        <v>10</v>
      </c>
      <c r="W13" s="115" t="s">
        <v>47</v>
      </c>
      <c r="X13" s="344" t="s">
        <v>27</v>
      </c>
      <c r="Y13" s="344"/>
      <c r="Z13" s="64" t="s">
        <v>28</v>
      </c>
      <c r="AA13" s="65">
        <v>1</v>
      </c>
      <c r="AB13" s="66">
        <f>SUMIF(AE:AE,$L13,AF:AF)</f>
        <v>0</v>
      </c>
      <c r="AC13" s="76">
        <f>TRUNC(AA13*AB13,2)</f>
        <v>0</v>
      </c>
      <c r="AD13" s="62"/>
    </row>
    <row r="14" spans="1:30" x14ac:dyDescent="0.25">
      <c r="A14" s="287" t="s">
        <v>754</v>
      </c>
      <c r="B14" s="287"/>
      <c r="C14" s="287"/>
      <c r="D14" s="287" t="s">
        <v>755</v>
      </c>
      <c r="E14" s="287"/>
      <c r="F14" s="346"/>
      <c r="G14" s="346"/>
      <c r="H14" s="288"/>
      <c r="I14" s="287"/>
      <c r="J14" s="289"/>
      <c r="K14" s="111"/>
      <c r="L14" s="89">
        <f t="shared" ref="L14:L77" si="0">IF(AND(A15&lt;&gt;"",A14=""),L13+1,L13)</f>
        <v>1</v>
      </c>
      <c r="M14" s="97" t="str">
        <f t="shared" ref="M14:M77" si="1">IF(OR(A14="Insumo",A14="Composição Auxiliar"),J14,"")</f>
        <v/>
      </c>
      <c r="N14" s="98" t="str">
        <f t="shared" ref="N14:N77" si="2">IF(ISNUMBER(SEARCH("COM ENCARGOS COMPLEMENTARES",D14)),J14,"")</f>
        <v/>
      </c>
      <c r="O14" s="98" t="str">
        <f t="shared" ref="O14:O18" si="3">IF(N14&lt;&gt;"","",M14)</f>
        <v/>
      </c>
      <c r="P14" s="99" t="str">
        <f t="shared" ref="P14:P77" si="4">IF(A14="Composição",A13,"")</f>
        <v/>
      </c>
      <c r="Q14" s="98" t="str">
        <f t="shared" ref="Q14:Q18" si="5">IF(P14&lt;&gt;"",SUMIF(L14:L114,L14,N14:N114),"")</f>
        <v/>
      </c>
      <c r="R14" s="98" t="str">
        <f t="shared" ref="R14:R18" si="6">IF(P14&lt;&gt;"",SUMIF(L14:L114,L14,O14:O114),"")</f>
        <v/>
      </c>
      <c r="S14" s="89"/>
      <c r="T14" s="77" t="s">
        <v>22</v>
      </c>
      <c r="U14" s="67">
        <v>95309</v>
      </c>
      <c r="V14" s="116" t="s">
        <v>10</v>
      </c>
      <c r="W14" s="116" t="s">
        <v>82</v>
      </c>
      <c r="X14" s="345" t="s">
        <v>27</v>
      </c>
      <c r="Y14" s="345"/>
      <c r="Z14" s="68" t="s">
        <v>28</v>
      </c>
      <c r="AA14" s="69">
        <v>1</v>
      </c>
      <c r="AB14" s="70">
        <f>SUMIFS('ANALÍTICA AUXILIARES'!AC:AC,'ANALÍTICA AUXILIARES'!T:T,"Composição",'ANALÍTICA AUXILIARES'!U:U,$B14)</f>
        <v>0</v>
      </c>
      <c r="AC14" s="78">
        <f>TRUNC(AA14*AB14,2)</f>
        <v>0</v>
      </c>
      <c r="AD14" s="62"/>
    </row>
    <row r="15" spans="1:30" x14ac:dyDescent="0.25">
      <c r="A15" s="287" t="s">
        <v>756</v>
      </c>
      <c r="B15" s="287"/>
      <c r="C15" s="287"/>
      <c r="D15" s="287" t="s">
        <v>8</v>
      </c>
      <c r="E15" s="287"/>
      <c r="F15" s="346"/>
      <c r="G15" s="346"/>
      <c r="H15" s="288"/>
      <c r="I15" s="287"/>
      <c r="J15" s="289"/>
      <c r="L15" s="89">
        <f t="shared" si="0"/>
        <v>1</v>
      </c>
      <c r="M15" s="97" t="str">
        <f t="shared" si="1"/>
        <v/>
      </c>
      <c r="N15" s="98" t="str">
        <f t="shared" si="2"/>
        <v/>
      </c>
      <c r="O15" s="98" t="str">
        <f t="shared" si="3"/>
        <v/>
      </c>
      <c r="P15" s="99" t="str">
        <f t="shared" si="4"/>
        <v/>
      </c>
      <c r="Q15" s="98" t="str">
        <f t="shared" si="5"/>
        <v/>
      </c>
      <c r="R15" s="98" t="str">
        <f t="shared" si="6"/>
        <v/>
      </c>
      <c r="S15" s="90"/>
      <c r="T15" s="79" t="s">
        <v>31</v>
      </c>
      <c r="U15" s="80" t="s">
        <v>90</v>
      </c>
      <c r="V15" s="117" t="str">
        <f>VLOOKUP(U15,INSUMOS!$A:$I,2,FALSE)</f>
        <v>SINAPI</v>
      </c>
      <c r="W15" s="117" t="str">
        <f>VLOOKUP(U15,INSUMOS!$A:$I,3,FALSE)</f>
        <v>ALIMENTACAO - HORISTA (COLETADO CAIXA)</v>
      </c>
      <c r="X15" s="353" t="str">
        <f>VLOOKUP(U15,INSUMOS!$A:$I,4,FALSE)</f>
        <v>Outros</v>
      </c>
      <c r="Y15" s="353"/>
      <c r="Z15" s="83" t="str">
        <f>VLOOKUP(U15,INSUMOS!$A:$I,5,FALSE)</f>
        <v>H</v>
      </c>
      <c r="AA15" s="81">
        <v>1</v>
      </c>
      <c r="AB15" s="84">
        <f>VLOOKUP(U15,INSUMOS!$A:$I,8,FALSE)</f>
        <v>2.62</v>
      </c>
      <c r="AC15" s="82">
        <f>TRUNC(AA15*AB15,2)</f>
        <v>2.62</v>
      </c>
      <c r="AD15" s="62"/>
    </row>
    <row r="16" spans="1:30" x14ac:dyDescent="0.25">
      <c r="A16" s="284" t="s">
        <v>636</v>
      </c>
      <c r="B16" s="286" t="s">
        <v>1</v>
      </c>
      <c r="C16" s="284" t="s">
        <v>2</v>
      </c>
      <c r="D16" s="284" t="s">
        <v>3</v>
      </c>
      <c r="E16" s="347" t="s">
        <v>19</v>
      </c>
      <c r="F16" s="347"/>
      <c r="G16" s="285" t="s">
        <v>4</v>
      </c>
      <c r="H16" s="286" t="s">
        <v>5</v>
      </c>
      <c r="I16" s="286" t="s">
        <v>6</v>
      </c>
      <c r="J16" s="286" t="s">
        <v>7</v>
      </c>
      <c r="L16" s="89">
        <f t="shared" si="0"/>
        <v>1</v>
      </c>
      <c r="M16" s="97" t="str">
        <f t="shared" si="1"/>
        <v/>
      </c>
      <c r="N16" s="98" t="str">
        <f t="shared" si="2"/>
        <v/>
      </c>
      <c r="O16" s="98" t="str">
        <f t="shared" si="3"/>
        <v/>
      </c>
      <c r="P16" s="99" t="str">
        <f t="shared" si="4"/>
        <v/>
      </c>
      <c r="Q16" s="98" t="str">
        <f t="shared" si="5"/>
        <v/>
      </c>
      <c r="R16" s="98" t="str">
        <f t="shared" si="6"/>
        <v/>
      </c>
      <c r="S16" s="90"/>
      <c r="T16" s="114"/>
      <c r="U16" s="114"/>
      <c r="V16" s="114"/>
      <c r="W16" s="114"/>
      <c r="X16" s="352"/>
      <c r="Y16" s="352"/>
      <c r="Z16" s="114"/>
      <c r="AA16" s="114"/>
      <c r="AB16" s="114"/>
      <c r="AC16" s="114"/>
      <c r="AD16" s="62"/>
    </row>
    <row r="17" spans="1:30" ht="14.25" customHeight="1" x14ac:dyDescent="0.25">
      <c r="A17" s="290" t="s">
        <v>20</v>
      </c>
      <c r="B17" s="292" t="s">
        <v>9</v>
      </c>
      <c r="C17" s="290" t="s">
        <v>10</v>
      </c>
      <c r="D17" s="290" t="s">
        <v>11</v>
      </c>
      <c r="E17" s="362" t="s">
        <v>21</v>
      </c>
      <c r="F17" s="362"/>
      <c r="G17" s="291" t="s">
        <v>12</v>
      </c>
      <c r="H17" s="294">
        <v>1</v>
      </c>
      <c r="I17" s="293">
        <f>SUMIF(L:L,$L17,M:M)</f>
        <v>321.87</v>
      </c>
      <c r="J17" s="293">
        <f t="shared" ref="J17:J24" si="7">TRUNC(H17*I17,2)</f>
        <v>321.87</v>
      </c>
      <c r="L17" s="89">
        <f t="shared" si="0"/>
        <v>1</v>
      </c>
      <c r="M17" s="97" t="str">
        <f t="shared" si="1"/>
        <v/>
      </c>
      <c r="N17" s="98" t="str">
        <f t="shared" si="2"/>
        <v/>
      </c>
      <c r="O17" s="98" t="str">
        <f t="shared" si="3"/>
        <v/>
      </c>
      <c r="P17" s="99" t="str">
        <f t="shared" si="4"/>
        <v xml:space="preserve"> 1.1.1 </v>
      </c>
      <c r="Q17" s="98">
        <f>IF(P17&lt;&gt;"",SUMIF(L17:L117,L17,N17:N117),"")</f>
        <v>58.9</v>
      </c>
      <c r="R17" s="98">
        <f>IF(P17&lt;&gt;"",SUMIF(L17:L117,L17,O17:O117),"")</f>
        <v>262.96999999999997</v>
      </c>
      <c r="S17" s="90"/>
      <c r="T17" s="100"/>
      <c r="U17" s="356" t="s">
        <v>39</v>
      </c>
      <c r="V17" s="356"/>
      <c r="W17" s="101">
        <f>TRUNC(SUMIF(Y:Y,$L17,Z:Z)*(1+$J$9),2)</f>
        <v>0</v>
      </c>
      <c r="X17" s="344"/>
      <c r="Y17" s="344"/>
      <c r="Z17" s="64"/>
      <c r="AA17" s="65"/>
      <c r="AB17" s="66"/>
      <c r="AC17" s="66"/>
      <c r="AD17" s="62"/>
    </row>
    <row r="18" spans="1:30" ht="39.6" x14ac:dyDescent="0.25">
      <c r="A18" s="296" t="s">
        <v>22</v>
      </c>
      <c r="B18" s="298" t="s">
        <v>23</v>
      </c>
      <c r="C18" s="296" t="s">
        <v>10</v>
      </c>
      <c r="D18" s="296" t="s">
        <v>637</v>
      </c>
      <c r="E18" s="363" t="s">
        <v>24</v>
      </c>
      <c r="F18" s="363"/>
      <c r="G18" s="297" t="s">
        <v>18</v>
      </c>
      <c r="H18" s="300">
        <v>0.01</v>
      </c>
      <c r="I18" s="299">
        <f>SUMIFS('ANALÍTICA AUXILIARES'!J:J,'ANALÍTICA AUXILIARES'!A:A,"Composição",'ANALÍTICA AUXILIARES'!B:B,$B18)</f>
        <v>329.54</v>
      </c>
      <c r="J18" s="299">
        <f t="shared" si="7"/>
        <v>3.29</v>
      </c>
      <c r="L18" s="89">
        <f t="shared" si="0"/>
        <v>1</v>
      </c>
      <c r="M18" s="97">
        <f>IF(OR(A18="Insumo",A18="Composição Auxiliar"),J18,"")</f>
        <v>3.29</v>
      </c>
      <c r="N18" s="98" t="str">
        <f t="shared" si="2"/>
        <v/>
      </c>
      <c r="O18" s="98">
        <f t="shared" si="3"/>
        <v>3.29</v>
      </c>
      <c r="P18" s="99" t="str">
        <f t="shared" si="4"/>
        <v/>
      </c>
      <c r="Q18" s="98" t="str">
        <f t="shared" si="5"/>
        <v/>
      </c>
      <c r="R18" s="98" t="str">
        <f t="shared" si="6"/>
        <v/>
      </c>
      <c r="S18" s="90"/>
      <c r="T18" s="102" t="s">
        <v>40</v>
      </c>
      <c r="U18" s="103">
        <v>1.6</v>
      </c>
      <c r="V18" s="104" t="s">
        <v>41</v>
      </c>
      <c r="W18" s="105">
        <f>TRUNC(W17*U18,2)</f>
        <v>0</v>
      </c>
      <c r="X18" s="345"/>
      <c r="Y18" s="345"/>
      <c r="Z18" s="68"/>
      <c r="AA18" s="69"/>
      <c r="AB18" s="70"/>
      <c r="AC18" s="70"/>
      <c r="AD18" s="62"/>
    </row>
    <row r="19" spans="1:30" ht="26.4" x14ac:dyDescent="0.25">
      <c r="A19" s="296" t="s">
        <v>22</v>
      </c>
      <c r="B19" s="298" t="s">
        <v>25</v>
      </c>
      <c r="C19" s="296" t="s">
        <v>10</v>
      </c>
      <c r="D19" s="296" t="s">
        <v>26</v>
      </c>
      <c r="E19" s="363" t="s">
        <v>27</v>
      </c>
      <c r="F19" s="363"/>
      <c r="G19" s="297" t="s">
        <v>28</v>
      </c>
      <c r="H19" s="300">
        <v>1</v>
      </c>
      <c r="I19" s="299">
        <f>SUMIFS('ANALÍTICA AUXILIARES'!J:J,'ANALÍTICA AUXILIARES'!A:A,"Composição",'ANALÍTICA AUXILIARES'!B:B,$B19)</f>
        <v>23.68</v>
      </c>
      <c r="J19" s="299">
        <f t="shared" si="7"/>
        <v>23.68</v>
      </c>
      <c r="L19" s="89">
        <f t="shared" si="0"/>
        <v>1</v>
      </c>
      <c r="M19" s="97">
        <f t="shared" si="1"/>
        <v>23.68</v>
      </c>
      <c r="N19" s="98">
        <f t="shared" si="2"/>
        <v>23.68</v>
      </c>
      <c r="O19" s="98" t="str">
        <f t="shared" ref="O19" si="8">IF(N19&lt;&gt;"","",M19)</f>
        <v/>
      </c>
      <c r="P19" s="99" t="str">
        <f t="shared" si="4"/>
        <v/>
      </c>
      <c r="Q19" s="98" t="str">
        <f t="shared" ref="Q19" si="9">IF(P19&lt;&gt;"",SUMIF(L19:L119,L19,N19:N119),"")</f>
        <v/>
      </c>
      <c r="R19" s="98" t="str">
        <f t="shared" ref="R19" si="10">IF(P19&lt;&gt;"",SUMIF(L19:L119,L19,O19:O119),"")</f>
        <v/>
      </c>
      <c r="S19" s="90"/>
      <c r="T19" s="112"/>
      <c r="U19" s="71"/>
      <c r="V19" s="112"/>
      <c r="W19" s="112"/>
      <c r="X19" s="348"/>
      <c r="Y19" s="348"/>
      <c r="Z19" s="72"/>
      <c r="AA19" s="73"/>
      <c r="AB19" s="74"/>
      <c r="AC19" s="74"/>
      <c r="AD19" s="62"/>
    </row>
    <row r="20" spans="1:30" ht="26.4" x14ac:dyDescent="0.25">
      <c r="A20" s="296" t="s">
        <v>22</v>
      </c>
      <c r="B20" s="298" t="s">
        <v>29</v>
      </c>
      <c r="C20" s="296" t="s">
        <v>10</v>
      </c>
      <c r="D20" s="296" t="s">
        <v>30</v>
      </c>
      <c r="E20" s="363" t="s">
        <v>27</v>
      </c>
      <c r="F20" s="363"/>
      <c r="G20" s="297" t="s">
        <v>28</v>
      </c>
      <c r="H20" s="300">
        <v>2</v>
      </c>
      <c r="I20" s="299">
        <f>SUMIFS('ANALÍTICA AUXILIARES'!J:J,'ANALÍTICA AUXILIARES'!A:A,"Composição",'ANALÍTICA AUXILIARES'!B:B,$B20)</f>
        <v>17.61</v>
      </c>
      <c r="J20" s="299">
        <f t="shared" si="7"/>
        <v>35.22</v>
      </c>
      <c r="L20" s="89">
        <f t="shared" si="0"/>
        <v>1</v>
      </c>
      <c r="M20" s="97">
        <f t="shared" si="1"/>
        <v>35.22</v>
      </c>
      <c r="N20" s="98">
        <f t="shared" si="2"/>
        <v>35.22</v>
      </c>
      <c r="O20" s="98" t="str">
        <f t="shared" ref="O20:O35" si="11">IF(N20&lt;&gt;"","",M20)</f>
        <v/>
      </c>
      <c r="P20" s="99" t="str">
        <f t="shared" si="4"/>
        <v/>
      </c>
      <c r="Q20" s="98" t="str">
        <f t="shared" ref="Q20:Q35" si="12">IF(P20&lt;&gt;"",SUMIF(L20:L120,L20,N20:N120),"")</f>
        <v/>
      </c>
      <c r="R20" s="98" t="str">
        <f t="shared" ref="R20:R35" si="13">IF(P20&lt;&gt;"",SUMIF(L20:L120,L20,O20:O120),"")</f>
        <v/>
      </c>
      <c r="S20" s="90"/>
      <c r="T20" s="90"/>
      <c r="U20" s="90"/>
      <c r="V20" s="90"/>
      <c r="W20" s="90"/>
      <c r="AA20" s="90"/>
      <c r="AB20" s="90"/>
      <c r="AC20" s="90"/>
      <c r="AD20" s="62"/>
    </row>
    <row r="21" spans="1:30" ht="26.4" x14ac:dyDescent="0.25">
      <c r="A21" s="301" t="s">
        <v>31</v>
      </c>
      <c r="B21" s="303" t="s">
        <v>32</v>
      </c>
      <c r="C21" s="301" t="str">
        <f>VLOOKUP(B21,INSUMOS!$A:$I,2,FALSE)</f>
        <v>SINAPI</v>
      </c>
      <c r="D21" s="301" t="str">
        <f>VLOOKUP(B21,INSUMOS!$A:$I,3,FALSE)</f>
        <v>PLACA DE OBRA (PARA CONSTRUCAO CIVIL) EM CHAPA GALVANIZADA *N. 22*, ADESIVADA, DE *2,0 X 1,125* M</v>
      </c>
      <c r="E21" s="361" t="str">
        <f>VLOOKUP(B21,INSUMOS!$A:$I,4,FALSE)</f>
        <v>Material</v>
      </c>
      <c r="F21" s="361"/>
      <c r="G21" s="302" t="str">
        <f>VLOOKUP(B21,INSUMOS!$A:$I,5,FALSE)</f>
        <v>m²</v>
      </c>
      <c r="H21" s="305">
        <v>1</v>
      </c>
      <c r="I21" s="304">
        <f>VLOOKUP(B21,INSUMOS!$A:$I,8,FALSE)</f>
        <v>225</v>
      </c>
      <c r="J21" s="304">
        <f t="shared" si="7"/>
        <v>225</v>
      </c>
      <c r="L21" s="113">
        <f t="shared" si="0"/>
        <v>1</v>
      </c>
      <c r="M21" s="85">
        <f t="shared" si="1"/>
        <v>225</v>
      </c>
      <c r="N21" s="86" t="str">
        <f t="shared" si="2"/>
        <v/>
      </c>
      <c r="O21" s="86">
        <f t="shared" si="11"/>
        <v>225</v>
      </c>
      <c r="P21" s="87" t="str">
        <f t="shared" si="4"/>
        <v/>
      </c>
      <c r="Q21" s="86" t="str">
        <f t="shared" si="12"/>
        <v/>
      </c>
      <c r="R21" s="86" t="str">
        <f t="shared" si="13"/>
        <v/>
      </c>
      <c r="U21" s="349"/>
      <c r="V21" s="349"/>
    </row>
    <row r="22" spans="1:30" x14ac:dyDescent="0.25">
      <c r="A22" s="301" t="s">
        <v>31</v>
      </c>
      <c r="B22" s="303" t="s">
        <v>35</v>
      </c>
      <c r="C22" s="301" t="str">
        <f>VLOOKUP(B22,INSUMOS!$A:$I,2,FALSE)</f>
        <v>SINAPI</v>
      </c>
      <c r="D22" s="301" t="str">
        <f>VLOOKUP(B22,INSUMOS!$A:$I,3,FALSE)</f>
        <v>PREGO DE ACO POLIDO COM CABECA 18 X 30 (2 3/4 X 10)</v>
      </c>
      <c r="E22" s="361" t="str">
        <f>VLOOKUP(B22,INSUMOS!$A:$I,4,FALSE)</f>
        <v>Material</v>
      </c>
      <c r="F22" s="361"/>
      <c r="G22" s="302" t="str">
        <f>VLOOKUP(B22,INSUMOS!$A:$I,5,FALSE)</f>
        <v>KG</v>
      </c>
      <c r="H22" s="305">
        <v>0.11</v>
      </c>
      <c r="I22" s="304">
        <f>VLOOKUP(B22,INSUMOS!$A:$I,8,FALSE)</f>
        <v>20.239999999999998</v>
      </c>
      <c r="J22" s="304">
        <f t="shared" si="7"/>
        <v>2.2200000000000002</v>
      </c>
      <c r="L22" s="113">
        <f t="shared" si="0"/>
        <v>1</v>
      </c>
      <c r="M22" s="85">
        <f t="shared" si="1"/>
        <v>2.2200000000000002</v>
      </c>
      <c r="N22" s="86" t="str">
        <f t="shared" si="2"/>
        <v/>
      </c>
      <c r="O22" s="86">
        <f t="shared" si="11"/>
        <v>2.2200000000000002</v>
      </c>
      <c r="P22" s="87" t="str">
        <f t="shared" si="4"/>
        <v/>
      </c>
      <c r="Q22" s="86" t="str">
        <f t="shared" si="12"/>
        <v/>
      </c>
      <c r="R22" s="86" t="str">
        <f t="shared" si="13"/>
        <v/>
      </c>
      <c r="U22" s="106"/>
    </row>
    <row r="23" spans="1:30" ht="26.4" x14ac:dyDescent="0.25">
      <c r="A23" s="301" t="s">
        <v>31</v>
      </c>
      <c r="B23" s="303" t="s">
        <v>34</v>
      </c>
      <c r="C23" s="301" t="str">
        <f>VLOOKUP(B23,INSUMOS!$A:$I,2,FALSE)</f>
        <v>SINAPI</v>
      </c>
      <c r="D23" s="301" t="str">
        <f>VLOOKUP(B23,INSUMOS!$A:$I,3,FALSE)</f>
        <v>PONTALETE *7,5 X 7,5* CM EM PINUS, MISTA OU EQUIVALENTE DA REGIAO - BRUTA</v>
      </c>
      <c r="E23" s="361" t="str">
        <f>VLOOKUP(B23,INSUMOS!$A:$I,4,FALSE)</f>
        <v>Material</v>
      </c>
      <c r="F23" s="361"/>
      <c r="G23" s="302" t="str">
        <f>VLOOKUP(B23,INSUMOS!$A:$I,5,FALSE)</f>
        <v>M</v>
      </c>
      <c r="H23" s="305">
        <v>4</v>
      </c>
      <c r="I23" s="304">
        <f>VLOOKUP(B23,INSUMOS!$A:$I,8,FALSE)</f>
        <v>6.49</v>
      </c>
      <c r="J23" s="304">
        <f t="shared" si="7"/>
        <v>25.96</v>
      </c>
      <c r="L23" s="113">
        <f t="shared" si="0"/>
        <v>1</v>
      </c>
      <c r="M23" s="85">
        <f t="shared" si="1"/>
        <v>25.96</v>
      </c>
      <c r="N23" s="86" t="str">
        <f t="shared" si="2"/>
        <v/>
      </c>
      <c r="O23" s="86">
        <f t="shared" si="11"/>
        <v>25.96</v>
      </c>
      <c r="P23" s="87" t="str">
        <f t="shared" si="4"/>
        <v/>
      </c>
      <c r="Q23" s="86" t="str">
        <f t="shared" si="12"/>
        <v/>
      </c>
      <c r="R23" s="86" t="str">
        <f t="shared" si="13"/>
        <v/>
      </c>
    </row>
    <row r="24" spans="1:30" ht="26.4" x14ac:dyDescent="0.25">
      <c r="A24" s="301" t="s">
        <v>31</v>
      </c>
      <c r="B24" s="303" t="s">
        <v>38</v>
      </c>
      <c r="C24" s="301" t="str">
        <f>VLOOKUP(B24,INSUMOS!$A:$I,2,FALSE)</f>
        <v>SINAPI</v>
      </c>
      <c r="D24" s="301" t="str">
        <f>VLOOKUP(B24,INSUMOS!$A:$I,3,FALSE)</f>
        <v>SARRAFO NAO APARELHADO *2,5 X 7* CM, EM MACARANDUBA, ANGELIM OU EQUIVALENTE DA REGIAO -  BRUTA</v>
      </c>
      <c r="E24" s="361" t="str">
        <f>VLOOKUP(B24,INSUMOS!$A:$I,4,FALSE)</f>
        <v>Material</v>
      </c>
      <c r="F24" s="361"/>
      <c r="G24" s="302" t="str">
        <f>VLOOKUP(B24,INSUMOS!$A:$I,5,FALSE)</f>
        <v>M</v>
      </c>
      <c r="H24" s="305">
        <v>1</v>
      </c>
      <c r="I24" s="304">
        <f>VLOOKUP(B24,INSUMOS!$A:$I,8,FALSE)</f>
        <v>6.5</v>
      </c>
      <c r="J24" s="304">
        <f t="shared" si="7"/>
        <v>6.5</v>
      </c>
      <c r="L24" s="113">
        <f t="shared" si="0"/>
        <v>1</v>
      </c>
      <c r="M24" s="85">
        <f t="shared" si="1"/>
        <v>6.5</v>
      </c>
      <c r="N24" s="86" t="str">
        <f t="shared" si="2"/>
        <v/>
      </c>
      <c r="O24" s="86">
        <f t="shared" si="11"/>
        <v>6.5</v>
      </c>
      <c r="P24" s="87" t="str">
        <f t="shared" si="4"/>
        <v/>
      </c>
      <c r="Q24" s="86" t="str">
        <f t="shared" si="12"/>
        <v/>
      </c>
      <c r="R24" s="86" t="str">
        <f t="shared" si="13"/>
        <v/>
      </c>
    </row>
    <row r="25" spans="1:30" x14ac:dyDescent="0.25">
      <c r="A25" s="309"/>
      <c r="B25" s="309"/>
      <c r="C25" s="309"/>
      <c r="D25" s="309"/>
      <c r="E25" s="309"/>
      <c r="F25" s="310"/>
      <c r="G25" s="309"/>
      <c r="H25" s="310"/>
      <c r="I25" s="309"/>
      <c r="J25" s="310"/>
      <c r="L25" s="113">
        <f t="shared" si="0"/>
        <v>1</v>
      </c>
      <c r="M25" s="85" t="str">
        <f t="shared" si="1"/>
        <v/>
      </c>
      <c r="N25" s="86" t="str">
        <f t="shared" si="2"/>
        <v/>
      </c>
      <c r="O25" s="86" t="str">
        <f t="shared" si="11"/>
        <v/>
      </c>
      <c r="P25" s="87" t="str">
        <f t="shared" si="4"/>
        <v/>
      </c>
      <c r="Q25" s="86" t="str">
        <f t="shared" si="12"/>
        <v/>
      </c>
      <c r="R25" s="86" t="str">
        <f t="shared" si="13"/>
        <v/>
      </c>
    </row>
    <row r="26" spans="1:30" ht="14.25" customHeight="1" x14ac:dyDescent="0.25">
      <c r="A26" s="309"/>
      <c r="B26" s="309"/>
      <c r="C26" s="309"/>
      <c r="D26" s="309"/>
      <c r="E26" s="309"/>
      <c r="F26" s="310"/>
      <c r="G26" s="309"/>
      <c r="H26" s="350" t="s">
        <v>39</v>
      </c>
      <c r="I26" s="350"/>
      <c r="J26" s="310">
        <f>TRUNC(SUMIF(L:L,$L26,M:M)*(1+$J$9),2)</f>
        <v>393.38</v>
      </c>
      <c r="L26" s="113">
        <f t="shared" si="0"/>
        <v>1</v>
      </c>
      <c r="M26" s="85" t="str">
        <f t="shared" si="1"/>
        <v/>
      </c>
      <c r="N26" s="86" t="str">
        <f t="shared" si="2"/>
        <v/>
      </c>
      <c r="O26" s="86" t="str">
        <f t="shared" si="11"/>
        <v/>
      </c>
      <c r="P26" s="87" t="str">
        <f t="shared" si="4"/>
        <v/>
      </c>
      <c r="Q26" s="86" t="str">
        <f t="shared" si="12"/>
        <v/>
      </c>
      <c r="R26" s="86" t="str">
        <f t="shared" si="13"/>
        <v/>
      </c>
    </row>
    <row r="27" spans="1:30" ht="14.4" thickBot="1" x14ac:dyDescent="0.3">
      <c r="A27" s="306"/>
      <c r="B27" s="306"/>
      <c r="C27" s="306"/>
      <c r="D27" s="306"/>
      <c r="E27" s="306"/>
      <c r="F27" s="306"/>
      <c r="G27" s="306" t="s">
        <v>40</v>
      </c>
      <c r="H27" s="308">
        <v>1.6</v>
      </c>
      <c r="I27" s="306" t="s">
        <v>41</v>
      </c>
      <c r="J27" s="307">
        <f>TRUNC(J26*H27,2)</f>
        <v>629.4</v>
      </c>
      <c r="L27" s="113">
        <f t="shared" si="0"/>
        <v>1</v>
      </c>
      <c r="M27" s="85" t="str">
        <f t="shared" si="1"/>
        <v/>
      </c>
      <c r="N27" s="86" t="str">
        <f t="shared" si="2"/>
        <v/>
      </c>
      <c r="O27" s="86" t="str">
        <f t="shared" si="11"/>
        <v/>
      </c>
      <c r="P27" s="87" t="str">
        <f t="shared" si="4"/>
        <v/>
      </c>
      <c r="Q27" s="86" t="str">
        <f t="shared" si="12"/>
        <v/>
      </c>
      <c r="R27" s="86" t="str">
        <f t="shared" si="13"/>
        <v/>
      </c>
    </row>
    <row r="28" spans="1:30" ht="14.4" thickTop="1" x14ac:dyDescent="0.2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L28" s="113">
        <f t="shared" si="0"/>
        <v>2</v>
      </c>
      <c r="M28" s="85" t="str">
        <f t="shared" si="1"/>
        <v/>
      </c>
      <c r="N28" s="86" t="str">
        <f t="shared" si="2"/>
        <v/>
      </c>
      <c r="O28" s="86" t="str">
        <f t="shared" si="11"/>
        <v/>
      </c>
      <c r="P28" s="87" t="str">
        <f t="shared" si="4"/>
        <v/>
      </c>
      <c r="Q28" s="86" t="str">
        <f t="shared" si="12"/>
        <v/>
      </c>
      <c r="R28" s="86" t="str">
        <f t="shared" si="13"/>
        <v/>
      </c>
    </row>
    <row r="29" spans="1:30" x14ac:dyDescent="0.25">
      <c r="A29" s="287" t="s">
        <v>757</v>
      </c>
      <c r="B29" s="287"/>
      <c r="C29" s="287"/>
      <c r="D29" s="287" t="s">
        <v>329</v>
      </c>
      <c r="E29" s="287"/>
      <c r="F29" s="346"/>
      <c r="G29" s="346"/>
      <c r="H29" s="288"/>
      <c r="I29" s="287"/>
      <c r="J29" s="289"/>
      <c r="L29" s="113">
        <f t="shared" si="0"/>
        <v>2</v>
      </c>
      <c r="M29" s="85" t="str">
        <f t="shared" si="1"/>
        <v/>
      </c>
      <c r="N29" s="86" t="str">
        <f t="shared" si="2"/>
        <v/>
      </c>
      <c r="O29" s="86" t="str">
        <f t="shared" si="11"/>
        <v/>
      </c>
      <c r="P29" s="87" t="str">
        <f t="shared" si="4"/>
        <v/>
      </c>
      <c r="Q29" s="86" t="str">
        <f t="shared" si="12"/>
        <v/>
      </c>
      <c r="R29" s="86" t="str">
        <f t="shared" si="13"/>
        <v/>
      </c>
    </row>
    <row r="30" spans="1:30" x14ac:dyDescent="0.25">
      <c r="A30" s="284" t="s">
        <v>638</v>
      </c>
      <c r="B30" s="286" t="s">
        <v>1</v>
      </c>
      <c r="C30" s="284" t="s">
        <v>2</v>
      </c>
      <c r="D30" s="284" t="s">
        <v>3</v>
      </c>
      <c r="E30" s="347" t="s">
        <v>19</v>
      </c>
      <c r="F30" s="347"/>
      <c r="G30" s="285" t="s">
        <v>4</v>
      </c>
      <c r="H30" s="286" t="s">
        <v>5</v>
      </c>
      <c r="I30" s="286" t="s">
        <v>6</v>
      </c>
      <c r="J30" s="286" t="s">
        <v>7</v>
      </c>
      <c r="L30" s="113">
        <f t="shared" si="0"/>
        <v>2</v>
      </c>
      <c r="M30" s="85" t="str">
        <f t="shared" si="1"/>
        <v/>
      </c>
      <c r="N30" s="86" t="str">
        <f t="shared" si="2"/>
        <v/>
      </c>
      <c r="O30" s="86" t="str">
        <f t="shared" si="11"/>
        <v/>
      </c>
      <c r="P30" s="87" t="str">
        <f t="shared" si="4"/>
        <v/>
      </c>
      <c r="Q30" s="86" t="str">
        <f t="shared" si="12"/>
        <v/>
      </c>
      <c r="R30" s="86" t="str">
        <f t="shared" si="13"/>
        <v/>
      </c>
    </row>
    <row r="31" spans="1:30" ht="52.8" x14ac:dyDescent="0.25">
      <c r="A31" s="290" t="s">
        <v>20</v>
      </c>
      <c r="B31" s="292" t="s">
        <v>365</v>
      </c>
      <c r="C31" s="290" t="s">
        <v>10</v>
      </c>
      <c r="D31" s="290" t="s">
        <v>366</v>
      </c>
      <c r="E31" s="362" t="s">
        <v>21</v>
      </c>
      <c r="F31" s="362"/>
      <c r="G31" s="291" t="s">
        <v>15</v>
      </c>
      <c r="H31" s="294">
        <v>1</v>
      </c>
      <c r="I31" s="293">
        <f>SUMIF(L:L,$L31,M:M)</f>
        <v>457.03</v>
      </c>
      <c r="J31" s="293">
        <f>TRUNC(H31*I31,2)</f>
        <v>457.03</v>
      </c>
      <c r="L31" s="113">
        <f t="shared" si="0"/>
        <v>2</v>
      </c>
      <c r="M31" s="85" t="str">
        <f t="shared" si="1"/>
        <v/>
      </c>
      <c r="N31" s="86" t="str">
        <f t="shared" si="2"/>
        <v/>
      </c>
      <c r="O31" s="86" t="str">
        <f t="shared" si="11"/>
        <v/>
      </c>
      <c r="P31" s="87" t="str">
        <f t="shared" si="4"/>
        <v xml:space="preserve"> 1.2.1 </v>
      </c>
      <c r="Q31" s="86">
        <f t="shared" si="12"/>
        <v>0</v>
      </c>
      <c r="R31" s="86">
        <f t="shared" si="13"/>
        <v>457.03</v>
      </c>
    </row>
    <row r="32" spans="1:30" ht="26.4" x14ac:dyDescent="0.25">
      <c r="A32" s="301" t="s">
        <v>31</v>
      </c>
      <c r="B32" s="303" t="s">
        <v>333</v>
      </c>
      <c r="C32" s="301" t="str">
        <f>VLOOKUP(B32,INSUMOS!$A:$I,2,FALSE)</f>
        <v>SINAPI</v>
      </c>
      <c r="D32" s="301" t="str">
        <f>VLOOKUP(B32,INSUMOS!$A:$I,3,FALSE)</f>
        <v>LOCACAO DE CONTAINER 2,30  X  6,00 M, ALT. 2,50 M, PARA ESCRITORIO, SEM DIVISORIAS INTERNAS E SEM SANITARIO</v>
      </c>
      <c r="E32" s="361" t="str">
        <f>VLOOKUP(B32,INSUMOS!$A:$I,4,FALSE)</f>
        <v>Equipamento</v>
      </c>
      <c r="F32" s="361"/>
      <c r="G32" s="302" t="str">
        <f>VLOOKUP(B32,INSUMOS!$A:$I,5,FALSE)</f>
        <v>MES</v>
      </c>
      <c r="H32" s="305">
        <v>1</v>
      </c>
      <c r="I32" s="304">
        <f>VLOOKUP(B32,INSUMOS!$A:$I,8,FALSE)</f>
        <v>457.03</v>
      </c>
      <c r="J32" s="304">
        <f>TRUNC(H32*I32,2)</f>
        <v>457.03</v>
      </c>
      <c r="L32" s="113">
        <f t="shared" si="0"/>
        <v>2</v>
      </c>
      <c r="M32" s="85">
        <f t="shared" si="1"/>
        <v>457.03</v>
      </c>
      <c r="N32" s="86" t="str">
        <f t="shared" si="2"/>
        <v/>
      </c>
      <c r="O32" s="86">
        <f t="shared" si="11"/>
        <v>457.03</v>
      </c>
      <c r="P32" s="87" t="str">
        <f t="shared" si="4"/>
        <v/>
      </c>
      <c r="Q32" s="86" t="str">
        <f t="shared" si="12"/>
        <v/>
      </c>
      <c r="R32" s="86" t="str">
        <f t="shared" si="13"/>
        <v/>
      </c>
    </row>
    <row r="33" spans="1:18" x14ac:dyDescent="0.25">
      <c r="A33" s="309"/>
      <c r="B33" s="309"/>
      <c r="C33" s="309"/>
      <c r="D33" s="309"/>
      <c r="E33" s="309"/>
      <c r="F33" s="310"/>
      <c r="G33" s="309"/>
      <c r="H33" s="310"/>
      <c r="I33" s="309"/>
      <c r="J33" s="310"/>
      <c r="L33" s="113">
        <f t="shared" si="0"/>
        <v>2</v>
      </c>
      <c r="M33" s="85" t="str">
        <f t="shared" si="1"/>
        <v/>
      </c>
      <c r="N33" s="86" t="str">
        <f t="shared" si="2"/>
        <v/>
      </c>
      <c r="O33" s="86" t="str">
        <f t="shared" si="11"/>
        <v/>
      </c>
      <c r="P33" s="87" t="str">
        <f t="shared" si="4"/>
        <v/>
      </c>
      <c r="Q33" s="86" t="str">
        <f t="shared" si="12"/>
        <v/>
      </c>
      <c r="R33" s="86" t="str">
        <f t="shared" si="13"/>
        <v/>
      </c>
    </row>
    <row r="34" spans="1:18" ht="14.25" customHeight="1" x14ac:dyDescent="0.25">
      <c r="A34" s="309"/>
      <c r="B34" s="309"/>
      <c r="C34" s="309"/>
      <c r="D34" s="309"/>
      <c r="E34" s="309"/>
      <c r="F34" s="310"/>
      <c r="G34" s="309"/>
      <c r="H34" s="350" t="s">
        <v>39</v>
      </c>
      <c r="I34" s="350"/>
      <c r="J34" s="310">
        <f>TRUNC(SUMIF(L:L,$L34,M:M)*(1+$J$9),2)</f>
        <v>558.58000000000004</v>
      </c>
      <c r="L34" s="113">
        <f t="shared" si="0"/>
        <v>2</v>
      </c>
      <c r="M34" s="85" t="str">
        <f t="shared" si="1"/>
        <v/>
      </c>
      <c r="N34" s="86" t="str">
        <f t="shared" si="2"/>
        <v/>
      </c>
      <c r="O34" s="86" t="str">
        <f t="shared" si="11"/>
        <v/>
      </c>
      <c r="P34" s="87" t="str">
        <f t="shared" si="4"/>
        <v/>
      </c>
      <c r="Q34" s="86" t="str">
        <f t="shared" si="12"/>
        <v/>
      </c>
      <c r="R34" s="86" t="str">
        <f t="shared" si="13"/>
        <v/>
      </c>
    </row>
    <row r="35" spans="1:18" ht="14.4" thickBot="1" x14ac:dyDescent="0.3">
      <c r="A35" s="306"/>
      <c r="B35" s="306"/>
      <c r="C35" s="306"/>
      <c r="D35" s="306"/>
      <c r="E35" s="306"/>
      <c r="F35" s="306"/>
      <c r="G35" s="306" t="s">
        <v>40</v>
      </c>
      <c r="H35" s="308">
        <v>2</v>
      </c>
      <c r="I35" s="306" t="s">
        <v>41</v>
      </c>
      <c r="J35" s="307">
        <f>TRUNC(J34*H35,2)</f>
        <v>1117.1600000000001</v>
      </c>
      <c r="L35" s="113">
        <f t="shared" si="0"/>
        <v>2</v>
      </c>
      <c r="M35" s="85" t="str">
        <f t="shared" si="1"/>
        <v/>
      </c>
      <c r="N35" s="86" t="str">
        <f t="shared" si="2"/>
        <v/>
      </c>
      <c r="O35" s="86" t="str">
        <f t="shared" si="11"/>
        <v/>
      </c>
      <c r="P35" s="87" t="str">
        <f t="shared" si="4"/>
        <v/>
      </c>
      <c r="Q35" s="86" t="str">
        <f t="shared" si="12"/>
        <v/>
      </c>
      <c r="R35" s="86" t="str">
        <f t="shared" si="13"/>
        <v/>
      </c>
    </row>
    <row r="36" spans="1:18" ht="14.4" thickTop="1" x14ac:dyDescent="0.25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L36" s="113">
        <f t="shared" si="0"/>
        <v>3</v>
      </c>
      <c r="M36" s="85" t="str">
        <f t="shared" si="1"/>
        <v/>
      </c>
      <c r="N36" s="86" t="str">
        <f t="shared" si="2"/>
        <v/>
      </c>
      <c r="O36" s="86" t="str">
        <f t="shared" ref="O36:O99" si="14">IF(N36&lt;&gt;"","",M36)</f>
        <v/>
      </c>
      <c r="P36" s="87" t="str">
        <f t="shared" si="4"/>
        <v/>
      </c>
      <c r="Q36" s="86" t="str">
        <f t="shared" ref="Q36:Q99" si="15">IF(P36&lt;&gt;"",SUMIF(L36:L136,L36,N36:N136),"")</f>
        <v/>
      </c>
      <c r="R36" s="86" t="str">
        <f t="shared" ref="R36:R99" si="16">IF(P36&lt;&gt;"",SUMIF(L36:L136,L36,O36:O136),"")</f>
        <v/>
      </c>
    </row>
    <row r="37" spans="1:18" x14ac:dyDescent="0.25">
      <c r="A37" s="284" t="s">
        <v>639</v>
      </c>
      <c r="B37" s="286" t="s">
        <v>1</v>
      </c>
      <c r="C37" s="284" t="s">
        <v>2</v>
      </c>
      <c r="D37" s="284" t="s">
        <v>3</v>
      </c>
      <c r="E37" s="347" t="s">
        <v>19</v>
      </c>
      <c r="F37" s="347"/>
      <c r="G37" s="285" t="s">
        <v>4</v>
      </c>
      <c r="H37" s="286" t="s">
        <v>5</v>
      </c>
      <c r="I37" s="286" t="s">
        <v>6</v>
      </c>
      <c r="J37" s="286" t="s">
        <v>7</v>
      </c>
      <c r="L37" s="113">
        <f t="shared" si="0"/>
        <v>3</v>
      </c>
      <c r="M37" s="85" t="str">
        <f t="shared" si="1"/>
        <v/>
      </c>
      <c r="N37" s="86" t="str">
        <f t="shared" si="2"/>
        <v/>
      </c>
      <c r="O37" s="86" t="str">
        <f t="shared" si="14"/>
        <v/>
      </c>
      <c r="P37" s="87" t="str">
        <f t="shared" si="4"/>
        <v/>
      </c>
      <c r="Q37" s="86" t="str">
        <f t="shared" si="15"/>
        <v/>
      </c>
      <c r="R37" s="86" t="str">
        <f t="shared" si="16"/>
        <v/>
      </c>
    </row>
    <row r="38" spans="1:18" ht="26.4" customHeight="1" x14ac:dyDescent="0.25">
      <c r="A38" s="290" t="s">
        <v>20</v>
      </c>
      <c r="B38" s="292" t="s">
        <v>367</v>
      </c>
      <c r="C38" s="290" t="s">
        <v>13</v>
      </c>
      <c r="D38" s="290" t="s">
        <v>343</v>
      </c>
      <c r="E38" s="362" t="s">
        <v>21</v>
      </c>
      <c r="F38" s="362"/>
      <c r="G38" s="291" t="s">
        <v>14</v>
      </c>
      <c r="H38" s="294">
        <v>1</v>
      </c>
      <c r="I38" s="293">
        <f>SUMIF(L:L,$L38,M:M)</f>
        <v>840.4</v>
      </c>
      <c r="J38" s="293">
        <f>TRUNC(H38*I38,2)</f>
        <v>840.4</v>
      </c>
      <c r="L38" s="113">
        <f t="shared" si="0"/>
        <v>3</v>
      </c>
      <c r="M38" s="85" t="str">
        <f t="shared" si="1"/>
        <v/>
      </c>
      <c r="N38" s="86" t="str">
        <f t="shared" si="2"/>
        <v/>
      </c>
      <c r="O38" s="86" t="str">
        <f t="shared" si="14"/>
        <v/>
      </c>
      <c r="P38" s="87" t="str">
        <f t="shared" si="4"/>
        <v xml:space="preserve"> 1.2.2 </v>
      </c>
      <c r="Q38" s="86">
        <f t="shared" si="15"/>
        <v>0</v>
      </c>
      <c r="R38" s="86">
        <f t="shared" si="16"/>
        <v>840.4</v>
      </c>
    </row>
    <row r="39" spans="1:18" ht="25.5" customHeight="1" x14ac:dyDescent="0.25">
      <c r="A39" s="301" t="s">
        <v>31</v>
      </c>
      <c r="B39" s="303" t="s">
        <v>342</v>
      </c>
      <c r="C39" s="301" t="str">
        <f>VLOOKUP(B39,INSUMOS!$A:$I,2,FALSE)</f>
        <v>Próprio</v>
      </c>
      <c r="D39" s="301" t="str">
        <f>VLOOKUP(B39,INSUMOS!$A:$I,3,FALSE)</f>
        <v>MOBILIZAÇÃO E DESMOBILIZAÇÃO DE CONTAINER</v>
      </c>
      <c r="E39" s="361" t="str">
        <f>VLOOKUP(B39,INSUMOS!$A:$I,4,FALSE)</f>
        <v>Material</v>
      </c>
      <c r="F39" s="361"/>
      <c r="G39" s="302" t="str">
        <f>VLOOKUP(B39,INSUMOS!$A:$I,5,FALSE)</f>
        <v>UN</v>
      </c>
      <c r="H39" s="305">
        <v>2</v>
      </c>
      <c r="I39" s="304">
        <f>VLOOKUP(B39,INSUMOS!$A:$I,8,FALSE)</f>
        <v>420.2</v>
      </c>
      <c r="J39" s="304">
        <f>TRUNC(H39*I39,2)</f>
        <v>840.4</v>
      </c>
      <c r="L39" s="113">
        <f t="shared" si="0"/>
        <v>3</v>
      </c>
      <c r="M39" s="85">
        <f t="shared" si="1"/>
        <v>840.4</v>
      </c>
      <c r="N39" s="86" t="str">
        <f t="shared" si="2"/>
        <v/>
      </c>
      <c r="O39" s="86">
        <f t="shared" si="14"/>
        <v>840.4</v>
      </c>
      <c r="P39" s="87" t="str">
        <f t="shared" si="4"/>
        <v/>
      </c>
      <c r="Q39" s="86" t="str">
        <f t="shared" si="15"/>
        <v/>
      </c>
      <c r="R39" s="86" t="str">
        <f t="shared" si="16"/>
        <v/>
      </c>
    </row>
    <row r="40" spans="1:18" x14ac:dyDescent="0.25">
      <c r="A40" s="309"/>
      <c r="B40" s="309"/>
      <c r="C40" s="309"/>
      <c r="D40" s="309"/>
      <c r="E40" s="309"/>
      <c r="F40" s="310"/>
      <c r="G40" s="309"/>
      <c r="H40" s="310"/>
      <c r="I40" s="309"/>
      <c r="J40" s="310"/>
      <c r="L40" s="113">
        <f t="shared" si="0"/>
        <v>3</v>
      </c>
      <c r="M40" s="85" t="str">
        <f t="shared" si="1"/>
        <v/>
      </c>
      <c r="N40" s="86" t="str">
        <f t="shared" si="2"/>
        <v/>
      </c>
      <c r="O40" s="86" t="str">
        <f t="shared" si="14"/>
        <v/>
      </c>
      <c r="P40" s="87" t="str">
        <f t="shared" si="4"/>
        <v/>
      </c>
      <c r="Q40" s="86" t="str">
        <f t="shared" si="15"/>
        <v/>
      </c>
      <c r="R40" s="86" t="str">
        <f t="shared" si="16"/>
        <v/>
      </c>
    </row>
    <row r="41" spans="1:18" ht="13.8" customHeight="1" x14ac:dyDescent="0.25">
      <c r="A41" s="309"/>
      <c r="B41" s="309"/>
      <c r="C41" s="309"/>
      <c r="D41" s="309"/>
      <c r="E41" s="309"/>
      <c r="F41" s="310"/>
      <c r="G41" s="309"/>
      <c r="H41" s="350" t="s">
        <v>39</v>
      </c>
      <c r="I41" s="350"/>
      <c r="J41" s="310">
        <f>TRUNC(SUMIF(L:L,$L41,M:M)*(1+$J$9),2)</f>
        <v>1027.1300000000001</v>
      </c>
      <c r="L41" s="113">
        <f t="shared" si="0"/>
        <v>3</v>
      </c>
      <c r="M41" s="85" t="str">
        <f t="shared" si="1"/>
        <v/>
      </c>
      <c r="N41" s="86" t="str">
        <f t="shared" si="2"/>
        <v/>
      </c>
      <c r="O41" s="86" t="str">
        <f t="shared" si="14"/>
        <v/>
      </c>
      <c r="P41" s="87" t="str">
        <f t="shared" si="4"/>
        <v/>
      </c>
      <c r="Q41" s="86" t="str">
        <f t="shared" si="15"/>
        <v/>
      </c>
      <c r="R41" s="86" t="str">
        <f t="shared" si="16"/>
        <v/>
      </c>
    </row>
    <row r="42" spans="1:18" ht="14.4" thickBot="1" x14ac:dyDescent="0.3">
      <c r="A42" s="306"/>
      <c r="B42" s="306"/>
      <c r="C42" s="306"/>
      <c r="D42" s="306"/>
      <c r="E42" s="306"/>
      <c r="F42" s="306"/>
      <c r="G42" s="306" t="s">
        <v>40</v>
      </c>
      <c r="H42" s="308">
        <v>1</v>
      </c>
      <c r="I42" s="306" t="s">
        <v>41</v>
      </c>
      <c r="J42" s="307">
        <f>TRUNC(J41*H42,2)</f>
        <v>1027.1300000000001</v>
      </c>
      <c r="L42" s="113">
        <f t="shared" si="0"/>
        <v>3</v>
      </c>
      <c r="M42" s="85" t="str">
        <f t="shared" si="1"/>
        <v/>
      </c>
      <c r="N42" s="86" t="str">
        <f t="shared" si="2"/>
        <v/>
      </c>
      <c r="O42" s="86" t="str">
        <f t="shared" si="14"/>
        <v/>
      </c>
      <c r="P42" s="87" t="str">
        <f t="shared" si="4"/>
        <v/>
      </c>
      <c r="Q42" s="86" t="str">
        <f t="shared" si="15"/>
        <v/>
      </c>
      <c r="R42" s="86" t="str">
        <f t="shared" si="16"/>
        <v/>
      </c>
    </row>
    <row r="43" spans="1:18" ht="14.25" customHeight="1" thickTop="1" x14ac:dyDescent="0.2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L43" s="113">
        <f t="shared" si="0"/>
        <v>4</v>
      </c>
      <c r="M43" s="85" t="str">
        <f t="shared" si="1"/>
        <v/>
      </c>
      <c r="N43" s="86" t="str">
        <f t="shared" si="2"/>
        <v/>
      </c>
      <c r="O43" s="86" t="str">
        <f t="shared" si="14"/>
        <v/>
      </c>
      <c r="P43" s="87" t="str">
        <f t="shared" si="4"/>
        <v/>
      </c>
      <c r="Q43" s="86" t="str">
        <f t="shared" si="15"/>
        <v/>
      </c>
      <c r="R43" s="86" t="str">
        <f t="shared" si="16"/>
        <v/>
      </c>
    </row>
    <row r="44" spans="1:18" x14ac:dyDescent="0.25">
      <c r="A44" s="287" t="s">
        <v>758</v>
      </c>
      <c r="B44" s="287"/>
      <c r="C44" s="287"/>
      <c r="D44" s="287" t="s">
        <v>759</v>
      </c>
      <c r="E44" s="287"/>
      <c r="F44" s="346"/>
      <c r="G44" s="346"/>
      <c r="H44" s="288"/>
      <c r="I44" s="287"/>
      <c r="J44" s="289"/>
      <c r="L44" s="113">
        <f t="shared" si="0"/>
        <v>4</v>
      </c>
      <c r="M44" s="85" t="str">
        <f t="shared" si="1"/>
        <v/>
      </c>
      <c r="N44" s="86" t="str">
        <f t="shared" si="2"/>
        <v/>
      </c>
      <c r="O44" s="86" t="str">
        <f t="shared" si="14"/>
        <v/>
      </c>
      <c r="P44" s="87" t="str">
        <f t="shared" si="4"/>
        <v/>
      </c>
      <c r="Q44" s="86" t="str">
        <f t="shared" si="15"/>
        <v/>
      </c>
      <c r="R44" s="86" t="str">
        <f t="shared" si="16"/>
        <v/>
      </c>
    </row>
    <row r="45" spans="1:18" x14ac:dyDescent="0.25">
      <c r="A45" s="284" t="s">
        <v>640</v>
      </c>
      <c r="B45" s="286" t="s">
        <v>1</v>
      </c>
      <c r="C45" s="284" t="s">
        <v>2</v>
      </c>
      <c r="D45" s="284" t="s">
        <v>3</v>
      </c>
      <c r="E45" s="347" t="s">
        <v>19</v>
      </c>
      <c r="F45" s="347"/>
      <c r="G45" s="285" t="s">
        <v>4</v>
      </c>
      <c r="H45" s="286" t="s">
        <v>5</v>
      </c>
      <c r="I45" s="286" t="s">
        <v>6</v>
      </c>
      <c r="J45" s="286" t="s">
        <v>7</v>
      </c>
      <c r="L45" s="113">
        <f t="shared" si="0"/>
        <v>4</v>
      </c>
      <c r="M45" s="85" t="str">
        <f t="shared" si="1"/>
        <v/>
      </c>
      <c r="N45" s="86" t="str">
        <f t="shared" si="2"/>
        <v/>
      </c>
      <c r="O45" s="86" t="str">
        <f t="shared" si="14"/>
        <v/>
      </c>
      <c r="P45" s="87" t="str">
        <f t="shared" si="4"/>
        <v/>
      </c>
      <c r="Q45" s="86" t="str">
        <f t="shared" si="15"/>
        <v/>
      </c>
      <c r="R45" s="86" t="str">
        <f t="shared" si="16"/>
        <v/>
      </c>
    </row>
    <row r="46" spans="1:18" ht="26.4" x14ac:dyDescent="0.25">
      <c r="A46" s="290" t="s">
        <v>20</v>
      </c>
      <c r="B46" s="292" t="s">
        <v>641</v>
      </c>
      <c r="C46" s="290" t="s">
        <v>10</v>
      </c>
      <c r="D46" s="290" t="s">
        <v>642</v>
      </c>
      <c r="E46" s="362" t="s">
        <v>306</v>
      </c>
      <c r="F46" s="362"/>
      <c r="G46" s="291" t="s">
        <v>14</v>
      </c>
      <c r="H46" s="294">
        <v>1</v>
      </c>
      <c r="I46" s="293">
        <f>SUMIF(L:L,$L46,M:M)</f>
        <v>88.59</v>
      </c>
      <c r="J46" s="293">
        <f>TRUNC(H46*I46,2)</f>
        <v>88.59</v>
      </c>
      <c r="L46" s="113">
        <f t="shared" si="0"/>
        <v>4</v>
      </c>
      <c r="M46" s="85" t="str">
        <f t="shared" si="1"/>
        <v/>
      </c>
      <c r="N46" s="86" t="str">
        <f t="shared" si="2"/>
        <v/>
      </c>
      <c r="O46" s="86" t="str">
        <f t="shared" si="14"/>
        <v/>
      </c>
      <c r="P46" s="87" t="str">
        <f t="shared" si="4"/>
        <v xml:space="preserve"> 1.3.1 </v>
      </c>
      <c r="Q46" s="86">
        <f t="shared" si="15"/>
        <v>49.28</v>
      </c>
      <c r="R46" s="86">
        <f t="shared" si="16"/>
        <v>39.31</v>
      </c>
    </row>
    <row r="47" spans="1:18" ht="25.5" customHeight="1" x14ac:dyDescent="0.25">
      <c r="A47" s="296" t="s">
        <v>22</v>
      </c>
      <c r="B47" s="298" t="s">
        <v>643</v>
      </c>
      <c r="C47" s="296" t="s">
        <v>10</v>
      </c>
      <c r="D47" s="296" t="s">
        <v>644</v>
      </c>
      <c r="E47" s="363" t="s">
        <v>44</v>
      </c>
      <c r="F47" s="363"/>
      <c r="G47" s="297" t="s">
        <v>45</v>
      </c>
      <c r="H47" s="300">
        <v>0.58699999999999997</v>
      </c>
      <c r="I47" s="299">
        <f>SUMIFS('ANALÍTICA AUXILIARES'!J:J,'ANALÍTICA AUXILIARES'!A:A,"Composição",'ANALÍTICA AUXILIARES'!B:B,$B47)</f>
        <v>22.07</v>
      </c>
      <c r="J47" s="299">
        <f>TRUNC(H47*I47,2)</f>
        <v>12.95</v>
      </c>
      <c r="L47" s="113">
        <f t="shared" si="0"/>
        <v>4</v>
      </c>
      <c r="M47" s="85">
        <f t="shared" si="1"/>
        <v>12.95</v>
      </c>
      <c r="N47" s="86" t="str">
        <f t="shared" si="2"/>
        <v/>
      </c>
      <c r="O47" s="86">
        <f t="shared" si="14"/>
        <v>12.95</v>
      </c>
      <c r="P47" s="87" t="str">
        <f t="shared" si="4"/>
        <v/>
      </c>
      <c r="Q47" s="86" t="str">
        <f t="shared" si="15"/>
        <v/>
      </c>
      <c r="R47" s="86" t="str">
        <f t="shared" si="16"/>
        <v/>
      </c>
    </row>
    <row r="48" spans="1:18" ht="25.5" customHeight="1" x14ac:dyDescent="0.25">
      <c r="A48" s="296" t="s">
        <v>22</v>
      </c>
      <c r="B48" s="298" t="s">
        <v>645</v>
      </c>
      <c r="C48" s="296" t="s">
        <v>10</v>
      </c>
      <c r="D48" s="296" t="s">
        <v>646</v>
      </c>
      <c r="E48" s="363" t="s">
        <v>44</v>
      </c>
      <c r="F48" s="363"/>
      <c r="G48" s="297" t="s">
        <v>46</v>
      </c>
      <c r="H48" s="300">
        <v>1.29</v>
      </c>
      <c r="I48" s="299">
        <f>SUMIFS('ANALÍTICA AUXILIARES'!J:J,'ANALÍTICA AUXILIARES'!A:A,"Composição",'ANALÍTICA AUXILIARES'!B:B,$B48)</f>
        <v>20.440000000000001</v>
      </c>
      <c r="J48" s="299">
        <f>TRUNC(H48*I48,2)</f>
        <v>26.36</v>
      </c>
      <c r="L48" s="113">
        <f t="shared" si="0"/>
        <v>4</v>
      </c>
      <c r="M48" s="85">
        <f t="shared" si="1"/>
        <v>26.36</v>
      </c>
      <c r="N48" s="86" t="str">
        <f t="shared" si="2"/>
        <v/>
      </c>
      <c r="O48" s="86">
        <f t="shared" si="14"/>
        <v>26.36</v>
      </c>
      <c r="P48" s="87" t="str">
        <f t="shared" si="4"/>
        <v/>
      </c>
      <c r="Q48" s="86" t="str">
        <f t="shared" si="15"/>
        <v/>
      </c>
      <c r="R48" s="86" t="str">
        <f t="shared" si="16"/>
        <v/>
      </c>
    </row>
    <row r="49" spans="1:18" ht="25.5" customHeight="1" x14ac:dyDescent="0.25">
      <c r="A49" s="296" t="s">
        <v>22</v>
      </c>
      <c r="B49" s="298" t="s">
        <v>302</v>
      </c>
      <c r="C49" s="296" t="s">
        <v>10</v>
      </c>
      <c r="D49" s="296" t="s">
        <v>303</v>
      </c>
      <c r="E49" s="363" t="s">
        <v>27</v>
      </c>
      <c r="F49" s="363"/>
      <c r="G49" s="297" t="s">
        <v>28</v>
      </c>
      <c r="H49" s="300">
        <v>0.29299999999999998</v>
      </c>
      <c r="I49" s="299">
        <f>SUMIFS('ANALÍTICA AUXILIARES'!J:J,'ANALÍTICA AUXILIARES'!A:A,"Composição",'ANALÍTICA AUXILIARES'!B:B,$B49)</f>
        <v>18.23</v>
      </c>
      <c r="J49" s="299">
        <f>TRUNC(H49*I49,2)</f>
        <v>5.34</v>
      </c>
      <c r="L49" s="113">
        <f t="shared" si="0"/>
        <v>4</v>
      </c>
      <c r="M49" s="85">
        <f t="shared" si="1"/>
        <v>5.34</v>
      </c>
      <c r="N49" s="86">
        <f t="shared" si="2"/>
        <v>5.34</v>
      </c>
      <c r="O49" s="86" t="str">
        <f t="shared" si="14"/>
        <v/>
      </c>
      <c r="P49" s="87" t="str">
        <f t="shared" si="4"/>
        <v/>
      </c>
      <c r="Q49" s="86" t="str">
        <f t="shared" si="15"/>
        <v/>
      </c>
      <c r="R49" s="86" t="str">
        <f t="shared" si="16"/>
        <v/>
      </c>
    </row>
    <row r="50" spans="1:18" ht="26.4" x14ac:dyDescent="0.25">
      <c r="A50" s="296" t="s">
        <v>22</v>
      </c>
      <c r="B50" s="298" t="s">
        <v>307</v>
      </c>
      <c r="C50" s="296" t="s">
        <v>10</v>
      </c>
      <c r="D50" s="296" t="s">
        <v>308</v>
      </c>
      <c r="E50" s="363" t="s">
        <v>27</v>
      </c>
      <c r="F50" s="363"/>
      <c r="G50" s="297" t="s">
        <v>28</v>
      </c>
      <c r="H50" s="300">
        <v>1.877</v>
      </c>
      <c r="I50" s="299">
        <f>SUMIFS('ANALÍTICA AUXILIARES'!J:J,'ANALÍTICA AUXILIARES'!A:A,"Composição",'ANALÍTICA AUXILIARES'!B:B,$B50)</f>
        <v>23.41</v>
      </c>
      <c r="J50" s="299">
        <f>TRUNC(H50*I50,2)</f>
        <v>43.94</v>
      </c>
      <c r="L50" s="113">
        <f t="shared" si="0"/>
        <v>4</v>
      </c>
      <c r="M50" s="85">
        <f t="shared" si="1"/>
        <v>43.94</v>
      </c>
      <c r="N50" s="86">
        <f t="shared" si="2"/>
        <v>43.94</v>
      </c>
      <c r="O50" s="86" t="str">
        <f t="shared" si="14"/>
        <v/>
      </c>
      <c r="P50" s="87" t="str">
        <f t="shared" si="4"/>
        <v/>
      </c>
      <c r="Q50" s="86" t="str">
        <f t="shared" si="15"/>
        <v/>
      </c>
      <c r="R50" s="86" t="str">
        <f t="shared" si="16"/>
        <v/>
      </c>
    </row>
    <row r="51" spans="1:18" ht="13.8" customHeight="1" x14ac:dyDescent="0.25">
      <c r="A51" s="309"/>
      <c r="B51" s="309"/>
      <c r="C51" s="309"/>
      <c r="D51" s="309"/>
      <c r="E51" s="309"/>
      <c r="F51" s="310"/>
      <c r="G51" s="309"/>
      <c r="H51" s="310"/>
      <c r="I51" s="309"/>
      <c r="J51" s="310"/>
      <c r="L51" s="113">
        <f t="shared" si="0"/>
        <v>4</v>
      </c>
      <c r="M51" s="85" t="str">
        <f t="shared" si="1"/>
        <v/>
      </c>
      <c r="N51" s="86" t="str">
        <f t="shared" si="2"/>
        <v/>
      </c>
      <c r="O51" s="86" t="str">
        <f t="shared" si="14"/>
        <v/>
      </c>
      <c r="P51" s="87" t="str">
        <f t="shared" si="4"/>
        <v/>
      </c>
      <c r="Q51" s="86" t="str">
        <f t="shared" si="15"/>
        <v/>
      </c>
      <c r="R51" s="86" t="str">
        <f t="shared" si="16"/>
        <v/>
      </c>
    </row>
    <row r="52" spans="1:18" x14ac:dyDescent="0.25">
      <c r="A52" s="309"/>
      <c r="B52" s="309"/>
      <c r="C52" s="309"/>
      <c r="D52" s="309"/>
      <c r="E52" s="309"/>
      <c r="F52" s="310"/>
      <c r="G52" s="309"/>
      <c r="H52" s="350" t="s">
        <v>39</v>
      </c>
      <c r="I52" s="350"/>
      <c r="J52" s="310">
        <f>TRUNC(SUMIF(L:L,$L52,M:M)*(1+$J$9),2)</f>
        <v>108.27</v>
      </c>
      <c r="L52" s="113">
        <f t="shared" si="0"/>
        <v>4</v>
      </c>
      <c r="M52" s="85" t="str">
        <f t="shared" si="1"/>
        <v/>
      </c>
      <c r="N52" s="86" t="str">
        <f t="shared" si="2"/>
        <v/>
      </c>
      <c r="O52" s="86" t="str">
        <f t="shared" si="14"/>
        <v/>
      </c>
      <c r="P52" s="87" t="str">
        <f t="shared" si="4"/>
        <v/>
      </c>
      <c r="Q52" s="86" t="str">
        <f t="shared" si="15"/>
        <v/>
      </c>
      <c r="R52" s="86" t="str">
        <f t="shared" si="16"/>
        <v/>
      </c>
    </row>
    <row r="53" spans="1:18" ht="14.4" thickBot="1" x14ac:dyDescent="0.3">
      <c r="A53" s="306"/>
      <c r="B53" s="306"/>
      <c r="C53" s="306"/>
      <c r="D53" s="306"/>
      <c r="E53" s="306"/>
      <c r="F53" s="306"/>
      <c r="G53" s="306" t="s">
        <v>40</v>
      </c>
      <c r="H53" s="308">
        <v>4</v>
      </c>
      <c r="I53" s="306" t="s">
        <v>41</v>
      </c>
      <c r="J53" s="307">
        <f>TRUNC(J52*H53,2)</f>
        <v>433.08</v>
      </c>
      <c r="L53" s="113">
        <f t="shared" si="0"/>
        <v>4</v>
      </c>
      <c r="M53" s="85" t="str">
        <f t="shared" si="1"/>
        <v/>
      </c>
      <c r="N53" s="86" t="str">
        <f t="shared" si="2"/>
        <v/>
      </c>
      <c r="O53" s="86" t="str">
        <f t="shared" si="14"/>
        <v/>
      </c>
      <c r="P53" s="87" t="str">
        <f t="shared" si="4"/>
        <v/>
      </c>
      <c r="Q53" s="86" t="str">
        <f t="shared" si="15"/>
        <v/>
      </c>
      <c r="R53" s="86" t="str">
        <f t="shared" si="16"/>
        <v/>
      </c>
    </row>
    <row r="54" spans="1:18" ht="14.25" customHeight="1" thickTop="1" x14ac:dyDescent="0.25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L54" s="113">
        <f t="shared" si="0"/>
        <v>5</v>
      </c>
      <c r="M54" s="85" t="str">
        <f t="shared" si="1"/>
        <v/>
      </c>
      <c r="N54" s="86" t="str">
        <f t="shared" si="2"/>
        <v/>
      </c>
      <c r="O54" s="86" t="str">
        <f t="shared" si="14"/>
        <v/>
      </c>
      <c r="P54" s="87" t="str">
        <f t="shared" si="4"/>
        <v/>
      </c>
      <c r="Q54" s="86" t="str">
        <f t="shared" si="15"/>
        <v/>
      </c>
      <c r="R54" s="86" t="str">
        <f t="shared" si="16"/>
        <v/>
      </c>
    </row>
    <row r="55" spans="1:18" x14ac:dyDescent="0.25">
      <c r="A55" s="287" t="s">
        <v>760</v>
      </c>
      <c r="B55" s="287"/>
      <c r="C55" s="287"/>
      <c r="D55" s="287" t="s">
        <v>761</v>
      </c>
      <c r="E55" s="287"/>
      <c r="F55" s="346"/>
      <c r="G55" s="346"/>
      <c r="H55" s="288"/>
      <c r="I55" s="287"/>
      <c r="J55" s="289"/>
      <c r="L55" s="113">
        <f t="shared" si="0"/>
        <v>5</v>
      </c>
      <c r="M55" s="85" t="str">
        <f t="shared" si="1"/>
        <v/>
      </c>
      <c r="N55" s="86" t="str">
        <f t="shared" si="2"/>
        <v/>
      </c>
      <c r="O55" s="86" t="str">
        <f t="shared" si="14"/>
        <v/>
      </c>
      <c r="P55" s="87" t="str">
        <f t="shared" si="4"/>
        <v/>
      </c>
      <c r="Q55" s="86" t="str">
        <f t="shared" si="15"/>
        <v/>
      </c>
      <c r="R55" s="86" t="str">
        <f t="shared" si="16"/>
        <v/>
      </c>
    </row>
    <row r="56" spans="1:18" x14ac:dyDescent="0.25">
      <c r="A56" s="287" t="s">
        <v>762</v>
      </c>
      <c r="B56" s="287"/>
      <c r="C56" s="287"/>
      <c r="D56" s="287" t="s">
        <v>649</v>
      </c>
      <c r="E56" s="287"/>
      <c r="F56" s="346"/>
      <c r="G56" s="346"/>
      <c r="H56" s="288"/>
      <c r="I56" s="287"/>
      <c r="J56" s="289"/>
      <c r="L56" s="113">
        <f t="shared" si="0"/>
        <v>5</v>
      </c>
      <c r="M56" s="85" t="str">
        <f t="shared" si="1"/>
        <v/>
      </c>
      <c r="N56" s="86" t="str">
        <f t="shared" si="2"/>
        <v/>
      </c>
      <c r="O56" s="86" t="str">
        <f t="shared" si="14"/>
        <v/>
      </c>
      <c r="P56" s="87" t="str">
        <f t="shared" si="4"/>
        <v/>
      </c>
      <c r="Q56" s="86" t="str">
        <f t="shared" si="15"/>
        <v/>
      </c>
      <c r="R56" s="86" t="str">
        <f t="shared" si="16"/>
        <v/>
      </c>
    </row>
    <row r="57" spans="1:18" ht="26.4" customHeight="1" x14ac:dyDescent="0.25">
      <c r="A57" s="284" t="s">
        <v>647</v>
      </c>
      <c r="B57" s="286" t="s">
        <v>1</v>
      </c>
      <c r="C57" s="284" t="s">
        <v>2</v>
      </c>
      <c r="D57" s="284" t="s">
        <v>3</v>
      </c>
      <c r="E57" s="347" t="s">
        <v>19</v>
      </c>
      <c r="F57" s="347"/>
      <c r="G57" s="285" t="s">
        <v>4</v>
      </c>
      <c r="H57" s="286" t="s">
        <v>5</v>
      </c>
      <c r="I57" s="286" t="s">
        <v>6</v>
      </c>
      <c r="J57" s="286" t="s">
        <v>7</v>
      </c>
      <c r="L57" s="113">
        <f t="shared" si="0"/>
        <v>5</v>
      </c>
      <c r="M57" s="85" t="str">
        <f t="shared" si="1"/>
        <v/>
      </c>
      <c r="N57" s="86" t="str">
        <f t="shared" si="2"/>
        <v/>
      </c>
      <c r="O57" s="86" t="str">
        <f t="shared" si="14"/>
        <v/>
      </c>
      <c r="P57" s="87" t="str">
        <f t="shared" si="4"/>
        <v/>
      </c>
      <c r="Q57" s="86" t="str">
        <f t="shared" si="15"/>
        <v/>
      </c>
      <c r="R57" s="86" t="str">
        <f t="shared" si="16"/>
        <v/>
      </c>
    </row>
    <row r="58" spans="1:18" ht="25.5" customHeight="1" x14ac:dyDescent="0.25">
      <c r="A58" s="290" t="s">
        <v>20</v>
      </c>
      <c r="B58" s="292" t="s">
        <v>648</v>
      </c>
      <c r="C58" s="290" t="s">
        <v>13</v>
      </c>
      <c r="D58" s="290" t="s">
        <v>649</v>
      </c>
      <c r="E58" s="362" t="s">
        <v>315</v>
      </c>
      <c r="F58" s="362"/>
      <c r="G58" s="291" t="s">
        <v>375</v>
      </c>
      <c r="H58" s="294">
        <v>1</v>
      </c>
      <c r="I58" s="293">
        <f>SUMIF(L:L,$L58,M:M)</f>
        <v>3284.32</v>
      </c>
      <c r="J58" s="293">
        <f>TRUNC(H58*I58,2)</f>
        <v>3284.32</v>
      </c>
      <c r="L58" s="113">
        <f t="shared" si="0"/>
        <v>5</v>
      </c>
      <c r="M58" s="85" t="str">
        <f t="shared" si="1"/>
        <v/>
      </c>
      <c r="N58" s="86" t="str">
        <f t="shared" si="2"/>
        <v/>
      </c>
      <c r="O58" s="86" t="str">
        <f t="shared" si="14"/>
        <v/>
      </c>
      <c r="P58" s="87" t="str">
        <f t="shared" si="4"/>
        <v xml:space="preserve"> 2.1.1 </v>
      </c>
      <c r="Q58" s="86">
        <f t="shared" si="15"/>
        <v>2961.6</v>
      </c>
      <c r="R58" s="86">
        <f t="shared" si="16"/>
        <v>322.72000000000003</v>
      </c>
    </row>
    <row r="59" spans="1:18" ht="25.5" customHeight="1" x14ac:dyDescent="0.25">
      <c r="A59" s="296" t="s">
        <v>22</v>
      </c>
      <c r="B59" s="298" t="s">
        <v>650</v>
      </c>
      <c r="C59" s="296" t="s">
        <v>10</v>
      </c>
      <c r="D59" s="296" t="s">
        <v>651</v>
      </c>
      <c r="E59" s="363" t="s">
        <v>27</v>
      </c>
      <c r="F59" s="363"/>
      <c r="G59" s="297" t="s">
        <v>28</v>
      </c>
      <c r="H59" s="300">
        <v>24</v>
      </c>
      <c r="I59" s="299">
        <f>SUMIFS('ANALÍTICA AUXILIARES'!J:J,'ANALÍTICA AUXILIARES'!A:A,"Composição",'ANALÍTICA AUXILIARES'!B:B,$B59)</f>
        <v>110.31</v>
      </c>
      <c r="J59" s="299">
        <f>TRUNC(H59*I59,2)</f>
        <v>2647.44</v>
      </c>
      <c r="L59" s="113">
        <f t="shared" si="0"/>
        <v>5</v>
      </c>
      <c r="M59" s="85">
        <f t="shared" si="1"/>
        <v>2647.44</v>
      </c>
      <c r="N59" s="86">
        <f t="shared" si="2"/>
        <v>2647.44</v>
      </c>
      <c r="O59" s="86" t="str">
        <f t="shared" si="14"/>
        <v/>
      </c>
      <c r="P59" s="87" t="str">
        <f t="shared" si="4"/>
        <v/>
      </c>
      <c r="Q59" s="86" t="str">
        <f t="shared" si="15"/>
        <v/>
      </c>
      <c r="R59" s="86" t="str">
        <f t="shared" si="16"/>
        <v/>
      </c>
    </row>
    <row r="60" spans="1:18" ht="25.5" customHeight="1" x14ac:dyDescent="0.25">
      <c r="A60" s="296" t="s">
        <v>22</v>
      </c>
      <c r="B60" s="298" t="s">
        <v>652</v>
      </c>
      <c r="C60" s="296" t="s">
        <v>10</v>
      </c>
      <c r="D60" s="296" t="s">
        <v>653</v>
      </c>
      <c r="E60" s="363" t="s">
        <v>27</v>
      </c>
      <c r="F60" s="363"/>
      <c r="G60" s="297" t="s">
        <v>28</v>
      </c>
      <c r="H60" s="300">
        <v>12</v>
      </c>
      <c r="I60" s="299">
        <f>SUMIFS('ANALÍTICA AUXILIARES'!J:J,'ANALÍTICA AUXILIARES'!A:A,"Composição",'ANALÍTICA AUXILIARES'!B:B,$B60)</f>
        <v>26.18</v>
      </c>
      <c r="J60" s="299">
        <f>TRUNC(H60*I60,2)</f>
        <v>314.16000000000003</v>
      </c>
      <c r="L60" s="113">
        <f t="shared" si="0"/>
        <v>5</v>
      </c>
      <c r="M60" s="85">
        <f t="shared" si="1"/>
        <v>314.16000000000003</v>
      </c>
      <c r="N60" s="86">
        <f t="shared" si="2"/>
        <v>314.16000000000003</v>
      </c>
      <c r="O60" s="86" t="str">
        <f t="shared" si="14"/>
        <v/>
      </c>
      <c r="P60" s="87" t="str">
        <f t="shared" si="4"/>
        <v/>
      </c>
      <c r="Q60" s="86" t="str">
        <f t="shared" si="15"/>
        <v/>
      </c>
      <c r="R60" s="86" t="str">
        <f t="shared" si="16"/>
        <v/>
      </c>
    </row>
    <row r="61" spans="1:18" ht="26.4" x14ac:dyDescent="0.25">
      <c r="A61" s="301" t="s">
        <v>31</v>
      </c>
      <c r="B61" s="303" t="s">
        <v>517</v>
      </c>
      <c r="C61" s="301" t="str">
        <f>VLOOKUP(B61,INSUMOS!$A:$I,2,FALSE)</f>
        <v>Próprio</v>
      </c>
      <c r="D61" s="301" t="str">
        <f>VLOOKUP(B61,INSUMOS!$A:$I,3,FALSE)</f>
        <v>ART DE PROJETO</v>
      </c>
      <c r="E61" s="361" t="str">
        <f>VLOOKUP(B61,INSUMOS!$A:$I,4,FALSE)</f>
        <v>Taxas</v>
      </c>
      <c r="F61" s="361"/>
      <c r="G61" s="302" t="str">
        <f>VLOOKUP(B61,INSUMOS!$A:$I,5,FALSE)</f>
        <v>UNIDADE</v>
      </c>
      <c r="H61" s="305">
        <v>1</v>
      </c>
      <c r="I61" s="304">
        <f>VLOOKUP(B61,INSUMOS!$A:$I,8,FALSE)</f>
        <v>88.78</v>
      </c>
      <c r="J61" s="304">
        <f>TRUNC(H61*I61,2)</f>
        <v>88.78</v>
      </c>
      <c r="L61" s="113">
        <f t="shared" si="0"/>
        <v>5</v>
      </c>
      <c r="M61" s="85">
        <f t="shared" si="1"/>
        <v>88.78</v>
      </c>
      <c r="N61" s="86" t="str">
        <f t="shared" si="2"/>
        <v/>
      </c>
      <c r="O61" s="86">
        <f t="shared" si="14"/>
        <v>88.78</v>
      </c>
      <c r="P61" s="87" t="str">
        <f t="shared" si="4"/>
        <v/>
      </c>
      <c r="Q61" s="86" t="str">
        <f t="shared" si="15"/>
        <v/>
      </c>
      <c r="R61" s="86" t="str">
        <f t="shared" si="16"/>
        <v/>
      </c>
    </row>
    <row r="62" spans="1:18" ht="26.4" x14ac:dyDescent="0.25">
      <c r="A62" s="301" t="s">
        <v>31</v>
      </c>
      <c r="B62" s="303" t="s">
        <v>464</v>
      </c>
      <c r="C62" s="301" t="str">
        <f>VLOOKUP(B62,INSUMOS!$A:$I,2,FALSE)</f>
        <v>Próprio</v>
      </c>
      <c r="D62" s="301" t="str">
        <f>VLOOKUP(B62,INSUMOS!$A:$I,3,FALSE)</f>
        <v>ART DE EXECUÇÃO</v>
      </c>
      <c r="E62" s="361" t="str">
        <f>VLOOKUP(B62,INSUMOS!$A:$I,4,FALSE)</f>
        <v>Taxas</v>
      </c>
      <c r="F62" s="361"/>
      <c r="G62" s="302" t="str">
        <f>VLOOKUP(B62,INSUMOS!$A:$I,5,FALSE)</f>
        <v>UNIDADE</v>
      </c>
      <c r="H62" s="305">
        <v>1</v>
      </c>
      <c r="I62" s="304">
        <f>VLOOKUP(B62,INSUMOS!$A:$I,8,FALSE)</f>
        <v>233.94</v>
      </c>
      <c r="J62" s="304">
        <f>TRUNC(H62*I62,2)</f>
        <v>233.94</v>
      </c>
      <c r="L62" s="113">
        <f t="shared" si="0"/>
        <v>5</v>
      </c>
      <c r="M62" s="85">
        <f t="shared" si="1"/>
        <v>233.94</v>
      </c>
      <c r="N62" s="86" t="str">
        <f t="shared" si="2"/>
        <v/>
      </c>
      <c r="O62" s="86">
        <f t="shared" si="14"/>
        <v>233.94</v>
      </c>
      <c r="P62" s="87" t="str">
        <f t="shared" si="4"/>
        <v/>
      </c>
      <c r="Q62" s="86" t="str">
        <f t="shared" si="15"/>
        <v/>
      </c>
      <c r="R62" s="86" t="str">
        <f t="shared" si="16"/>
        <v/>
      </c>
    </row>
    <row r="63" spans="1:18" ht="13.8" customHeight="1" x14ac:dyDescent="0.25">
      <c r="A63" s="309"/>
      <c r="B63" s="309"/>
      <c r="C63" s="309"/>
      <c r="D63" s="309"/>
      <c r="E63" s="309"/>
      <c r="F63" s="310"/>
      <c r="G63" s="309"/>
      <c r="H63" s="310"/>
      <c r="I63" s="309"/>
      <c r="J63" s="310"/>
      <c r="L63" s="113">
        <f t="shared" si="0"/>
        <v>5</v>
      </c>
      <c r="M63" s="85" t="str">
        <f t="shared" si="1"/>
        <v/>
      </c>
      <c r="N63" s="86" t="str">
        <f t="shared" si="2"/>
        <v/>
      </c>
      <c r="O63" s="86" t="str">
        <f t="shared" si="14"/>
        <v/>
      </c>
      <c r="P63" s="87" t="str">
        <f t="shared" si="4"/>
        <v/>
      </c>
      <c r="Q63" s="86" t="str">
        <f t="shared" si="15"/>
        <v/>
      </c>
      <c r="R63" s="86" t="str">
        <f t="shared" si="16"/>
        <v/>
      </c>
    </row>
    <row r="64" spans="1:18" ht="14.25" customHeight="1" x14ac:dyDescent="0.25">
      <c r="A64" s="309"/>
      <c r="B64" s="309"/>
      <c r="C64" s="309"/>
      <c r="D64" s="309"/>
      <c r="E64" s="309"/>
      <c r="F64" s="310"/>
      <c r="G64" s="309"/>
      <c r="H64" s="350" t="s">
        <v>39</v>
      </c>
      <c r="I64" s="350"/>
      <c r="J64" s="310">
        <f>TRUNC(SUMIF(L:L,$L64,M:M)*(1+$J$9),2)</f>
        <v>4014.09</v>
      </c>
      <c r="L64" s="113">
        <f t="shared" si="0"/>
        <v>5</v>
      </c>
      <c r="M64" s="85" t="str">
        <f t="shared" si="1"/>
        <v/>
      </c>
      <c r="N64" s="86" t="str">
        <f t="shared" si="2"/>
        <v/>
      </c>
      <c r="O64" s="86" t="str">
        <f t="shared" si="14"/>
        <v/>
      </c>
      <c r="P64" s="87" t="str">
        <f t="shared" si="4"/>
        <v/>
      </c>
      <c r="Q64" s="86" t="str">
        <f t="shared" si="15"/>
        <v/>
      </c>
      <c r="R64" s="86" t="str">
        <f t="shared" si="16"/>
        <v/>
      </c>
    </row>
    <row r="65" spans="1:18" ht="14.4" thickBot="1" x14ac:dyDescent="0.3">
      <c r="A65" s="306"/>
      <c r="B65" s="306"/>
      <c r="C65" s="306"/>
      <c r="D65" s="306"/>
      <c r="E65" s="306"/>
      <c r="F65" s="306"/>
      <c r="G65" s="306" t="s">
        <v>40</v>
      </c>
      <c r="H65" s="308">
        <v>1</v>
      </c>
      <c r="I65" s="306" t="s">
        <v>41</v>
      </c>
      <c r="J65" s="307">
        <f>TRUNC(J64*H65,2)</f>
        <v>4014.09</v>
      </c>
      <c r="L65" s="113">
        <f t="shared" si="0"/>
        <v>5</v>
      </c>
      <c r="M65" s="85" t="str">
        <f t="shared" si="1"/>
        <v/>
      </c>
      <c r="N65" s="86" t="str">
        <f t="shared" si="2"/>
        <v/>
      </c>
      <c r="O65" s="86" t="str">
        <f t="shared" si="14"/>
        <v/>
      </c>
      <c r="P65" s="87" t="str">
        <f t="shared" si="4"/>
        <v/>
      </c>
      <c r="Q65" s="86" t="str">
        <f t="shared" si="15"/>
        <v/>
      </c>
      <c r="R65" s="86" t="str">
        <f t="shared" si="16"/>
        <v/>
      </c>
    </row>
    <row r="66" spans="1:18" ht="14.4" thickTop="1" x14ac:dyDescent="0.25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L66" s="113">
        <f t="shared" si="0"/>
        <v>6</v>
      </c>
      <c r="M66" s="85" t="str">
        <f t="shared" si="1"/>
        <v/>
      </c>
      <c r="N66" s="86" t="str">
        <f t="shared" si="2"/>
        <v/>
      </c>
      <c r="O66" s="86" t="str">
        <f t="shared" si="14"/>
        <v/>
      </c>
      <c r="P66" s="87" t="str">
        <f t="shared" si="4"/>
        <v/>
      </c>
      <c r="Q66" s="86" t="str">
        <f t="shared" si="15"/>
        <v/>
      </c>
      <c r="R66" s="86" t="str">
        <f t="shared" si="16"/>
        <v/>
      </c>
    </row>
    <row r="67" spans="1:18" ht="26.4" customHeight="1" x14ac:dyDescent="0.25">
      <c r="A67" s="287" t="s">
        <v>763</v>
      </c>
      <c r="B67" s="287"/>
      <c r="C67" s="287"/>
      <c r="D67" s="287" t="s">
        <v>764</v>
      </c>
      <c r="E67" s="287"/>
      <c r="F67" s="346"/>
      <c r="G67" s="346"/>
      <c r="H67" s="288"/>
      <c r="I67" s="287"/>
      <c r="J67" s="289"/>
      <c r="L67" s="113">
        <f t="shared" si="0"/>
        <v>6</v>
      </c>
      <c r="M67" s="85" t="str">
        <f t="shared" si="1"/>
        <v/>
      </c>
      <c r="N67" s="86" t="str">
        <f t="shared" si="2"/>
        <v/>
      </c>
      <c r="O67" s="86" t="str">
        <f t="shared" si="14"/>
        <v/>
      </c>
      <c r="P67" s="87" t="str">
        <f t="shared" si="4"/>
        <v/>
      </c>
      <c r="Q67" s="86" t="str">
        <f t="shared" si="15"/>
        <v/>
      </c>
      <c r="R67" s="86" t="str">
        <f t="shared" si="16"/>
        <v/>
      </c>
    </row>
    <row r="68" spans="1:18" ht="14.25" customHeight="1" x14ac:dyDescent="0.25">
      <c r="A68" s="284" t="s">
        <v>654</v>
      </c>
      <c r="B68" s="286" t="s">
        <v>1</v>
      </c>
      <c r="C68" s="284" t="s">
        <v>2</v>
      </c>
      <c r="D68" s="284" t="s">
        <v>3</v>
      </c>
      <c r="E68" s="347" t="s">
        <v>19</v>
      </c>
      <c r="F68" s="347"/>
      <c r="G68" s="285" t="s">
        <v>4</v>
      </c>
      <c r="H68" s="286" t="s">
        <v>5</v>
      </c>
      <c r="I68" s="286" t="s">
        <v>6</v>
      </c>
      <c r="J68" s="286" t="s">
        <v>7</v>
      </c>
      <c r="L68" s="113">
        <f t="shared" si="0"/>
        <v>6</v>
      </c>
      <c r="M68" s="85" t="str">
        <f t="shared" si="1"/>
        <v/>
      </c>
      <c r="N68" s="86" t="str">
        <f t="shared" si="2"/>
        <v/>
      </c>
      <c r="O68" s="86" t="str">
        <f t="shared" si="14"/>
        <v/>
      </c>
      <c r="P68" s="87" t="str">
        <f t="shared" si="4"/>
        <v/>
      </c>
      <c r="Q68" s="86" t="str">
        <f t="shared" si="15"/>
        <v/>
      </c>
      <c r="R68" s="86" t="str">
        <f t="shared" si="16"/>
        <v/>
      </c>
    </row>
    <row r="69" spans="1:18" ht="38.25" customHeight="1" x14ac:dyDescent="0.25">
      <c r="A69" s="290" t="s">
        <v>20</v>
      </c>
      <c r="B69" s="292" t="s">
        <v>655</v>
      </c>
      <c r="C69" s="290" t="s">
        <v>13</v>
      </c>
      <c r="D69" s="290" t="s">
        <v>656</v>
      </c>
      <c r="E69" s="362" t="s">
        <v>315</v>
      </c>
      <c r="F69" s="362"/>
      <c r="G69" s="291" t="s">
        <v>375</v>
      </c>
      <c r="H69" s="294">
        <v>1</v>
      </c>
      <c r="I69" s="293">
        <f>SUMIF(L:L,$L69,M:M)</f>
        <v>130371.05</v>
      </c>
      <c r="J69" s="293">
        <f>TRUNC(H69*I69,2)</f>
        <v>130371.05</v>
      </c>
      <c r="L69" s="113">
        <f t="shared" si="0"/>
        <v>6</v>
      </c>
      <c r="M69" s="85" t="str">
        <f t="shared" si="1"/>
        <v/>
      </c>
      <c r="N69" s="86" t="str">
        <f t="shared" si="2"/>
        <v/>
      </c>
      <c r="O69" s="86" t="str">
        <f t="shared" si="14"/>
        <v/>
      </c>
      <c r="P69" s="87" t="str">
        <f t="shared" si="4"/>
        <v xml:space="preserve"> 2.2.1 </v>
      </c>
      <c r="Q69" s="86">
        <f t="shared" si="15"/>
        <v>11395.44</v>
      </c>
      <c r="R69" s="86">
        <f t="shared" si="16"/>
        <v>118975.61</v>
      </c>
    </row>
    <row r="70" spans="1:18" ht="26.4" customHeight="1" x14ac:dyDescent="0.25">
      <c r="A70" s="296" t="s">
        <v>22</v>
      </c>
      <c r="B70" s="298" t="s">
        <v>313</v>
      </c>
      <c r="C70" s="296" t="s">
        <v>10</v>
      </c>
      <c r="D70" s="296" t="s">
        <v>314</v>
      </c>
      <c r="E70" s="363" t="s">
        <v>27</v>
      </c>
      <c r="F70" s="363"/>
      <c r="G70" s="297" t="s">
        <v>28</v>
      </c>
      <c r="H70" s="300">
        <v>266</v>
      </c>
      <c r="I70" s="299">
        <f>SUMIFS('ANALÍTICA AUXILIARES'!J:J,'ANALÍTICA AUXILIARES'!A:A,"Composição",'ANALÍTICA AUXILIARES'!B:B,$B70)</f>
        <v>24.1</v>
      </c>
      <c r="J70" s="299">
        <f>TRUNC(H70*I70,2)</f>
        <v>6410.6</v>
      </c>
      <c r="L70" s="113">
        <f t="shared" si="0"/>
        <v>6</v>
      </c>
      <c r="M70" s="85">
        <f t="shared" si="1"/>
        <v>6410.6</v>
      </c>
      <c r="N70" s="86">
        <f t="shared" si="2"/>
        <v>6410.6</v>
      </c>
      <c r="O70" s="86" t="str">
        <f t="shared" si="14"/>
        <v/>
      </c>
      <c r="P70" s="87" t="str">
        <f t="shared" si="4"/>
        <v/>
      </c>
      <c r="Q70" s="86" t="str">
        <f t="shared" si="15"/>
        <v/>
      </c>
      <c r="R70" s="86" t="str">
        <f t="shared" si="16"/>
        <v/>
      </c>
    </row>
    <row r="71" spans="1:18" ht="26.4" x14ac:dyDescent="0.25">
      <c r="A71" s="296" t="s">
        <v>22</v>
      </c>
      <c r="B71" s="298" t="s">
        <v>298</v>
      </c>
      <c r="C71" s="296" t="s">
        <v>10</v>
      </c>
      <c r="D71" s="296" t="s">
        <v>299</v>
      </c>
      <c r="E71" s="363" t="s">
        <v>27</v>
      </c>
      <c r="F71" s="363"/>
      <c r="G71" s="297" t="s">
        <v>28</v>
      </c>
      <c r="H71" s="300">
        <v>266</v>
      </c>
      <c r="I71" s="299">
        <f>SUMIFS('ANALÍTICA AUXILIARES'!J:J,'ANALÍTICA AUXILIARES'!A:A,"Composição",'ANALÍTICA AUXILIARES'!B:B,$B71)</f>
        <v>18.739999999999998</v>
      </c>
      <c r="J71" s="299">
        <f>TRUNC(H71*I71,2)</f>
        <v>4984.84</v>
      </c>
      <c r="L71" s="113">
        <f t="shared" si="0"/>
        <v>6</v>
      </c>
      <c r="M71" s="85">
        <f t="shared" si="1"/>
        <v>4984.84</v>
      </c>
      <c r="N71" s="86">
        <f t="shared" si="2"/>
        <v>4984.84</v>
      </c>
      <c r="O71" s="86" t="str">
        <f t="shared" si="14"/>
        <v/>
      </c>
      <c r="P71" s="87" t="str">
        <f t="shared" si="4"/>
        <v/>
      </c>
      <c r="Q71" s="86" t="str">
        <f t="shared" si="15"/>
        <v/>
      </c>
      <c r="R71" s="86" t="str">
        <f t="shared" si="16"/>
        <v/>
      </c>
    </row>
    <row r="72" spans="1:18" ht="14.25" customHeight="1" x14ac:dyDescent="0.25">
      <c r="A72" s="301" t="s">
        <v>31</v>
      </c>
      <c r="B72" s="303" t="s">
        <v>372</v>
      </c>
      <c r="C72" s="301" t="str">
        <f>VLOOKUP(B72,INSUMOS!$A:$I,2,FALSE)</f>
        <v>Próprio</v>
      </c>
      <c r="D72" s="301" t="str">
        <f>VLOOKUP(B72,INSUMOS!$A:$I,3,FALSE)</f>
        <v>KIT GERADOR FOTOVOLTAICO (INVERSOR, STRING-BOX, MÓDULOS, CABOS, CONECTORES, ESTRUTURA DE FIXAÇÃO E MONITORAMENTO) 40,80 kWp PARA MONTAGEM EM TELHADO METÁLICO TRAPEZOIDAL</v>
      </c>
      <c r="E72" s="361" t="str">
        <f>VLOOKUP(B72,INSUMOS!$A:$I,4,FALSE)</f>
        <v>Equipamento para Aquisição Permanente</v>
      </c>
      <c r="F72" s="361"/>
      <c r="G72" s="302" t="str">
        <f>VLOOKUP(B72,INSUMOS!$A:$I,5,FALSE)</f>
        <v>UNIDADE</v>
      </c>
      <c r="H72" s="305">
        <v>1</v>
      </c>
      <c r="I72" s="304">
        <f>VLOOKUP(B72,INSUMOS!$A:$I,8,FALSE)</f>
        <v>118975.61</v>
      </c>
      <c r="J72" s="304">
        <f>TRUNC(H72*I72,2)</f>
        <v>118975.61</v>
      </c>
      <c r="L72" s="113">
        <f t="shared" si="0"/>
        <v>6</v>
      </c>
      <c r="M72" s="85">
        <f t="shared" si="1"/>
        <v>118975.61</v>
      </c>
      <c r="N72" s="86" t="str">
        <f t="shared" si="2"/>
        <v/>
      </c>
      <c r="O72" s="86">
        <f t="shared" si="14"/>
        <v>118975.61</v>
      </c>
      <c r="P72" s="87" t="str">
        <f t="shared" si="4"/>
        <v/>
      </c>
      <c r="Q72" s="86" t="str">
        <f t="shared" si="15"/>
        <v/>
      </c>
      <c r="R72" s="86" t="str">
        <f t="shared" si="16"/>
        <v/>
      </c>
    </row>
    <row r="73" spans="1:18" ht="13.8" customHeight="1" x14ac:dyDescent="0.25">
      <c r="A73" s="309"/>
      <c r="B73" s="309"/>
      <c r="C73" s="309"/>
      <c r="D73" s="309"/>
      <c r="E73" s="309"/>
      <c r="F73" s="310"/>
      <c r="G73" s="309"/>
      <c r="H73" s="310"/>
      <c r="I73" s="309"/>
      <c r="J73" s="310"/>
      <c r="L73" s="113">
        <f t="shared" si="0"/>
        <v>6</v>
      </c>
      <c r="M73" s="85" t="str">
        <f t="shared" si="1"/>
        <v/>
      </c>
      <c r="N73" s="86" t="str">
        <f t="shared" si="2"/>
        <v/>
      </c>
      <c r="O73" s="86" t="str">
        <f t="shared" si="14"/>
        <v/>
      </c>
      <c r="P73" s="87" t="str">
        <f t="shared" si="4"/>
        <v/>
      </c>
      <c r="Q73" s="86" t="str">
        <f t="shared" si="15"/>
        <v/>
      </c>
      <c r="R73" s="86" t="str">
        <f t="shared" si="16"/>
        <v/>
      </c>
    </row>
    <row r="74" spans="1:18" x14ac:dyDescent="0.25">
      <c r="A74" s="309"/>
      <c r="B74" s="309"/>
      <c r="C74" s="309"/>
      <c r="D74" s="309"/>
      <c r="E74" s="309"/>
      <c r="F74" s="310"/>
      <c r="G74" s="309"/>
      <c r="H74" s="350" t="s">
        <v>39</v>
      </c>
      <c r="I74" s="350"/>
      <c r="J74" s="310">
        <f>TRUNC(SUMIF(L:L,$L74,M:M)*(1+$J$9),2)</f>
        <v>159339.49</v>
      </c>
      <c r="L74" s="113">
        <f t="shared" si="0"/>
        <v>6</v>
      </c>
      <c r="M74" s="85" t="str">
        <f t="shared" si="1"/>
        <v/>
      </c>
      <c r="N74" s="86" t="str">
        <f t="shared" si="2"/>
        <v/>
      </c>
      <c r="O74" s="86" t="str">
        <f t="shared" si="14"/>
        <v/>
      </c>
      <c r="P74" s="87" t="str">
        <f t="shared" si="4"/>
        <v/>
      </c>
      <c r="Q74" s="86" t="str">
        <f t="shared" si="15"/>
        <v/>
      </c>
      <c r="R74" s="86" t="str">
        <f t="shared" si="16"/>
        <v/>
      </c>
    </row>
    <row r="75" spans="1:18" ht="14.4" thickBot="1" x14ac:dyDescent="0.3">
      <c r="A75" s="306"/>
      <c r="B75" s="306"/>
      <c r="C75" s="306"/>
      <c r="D75" s="306"/>
      <c r="E75" s="306"/>
      <c r="F75" s="306"/>
      <c r="G75" s="306" t="s">
        <v>40</v>
      </c>
      <c r="H75" s="308">
        <v>2</v>
      </c>
      <c r="I75" s="306" t="s">
        <v>41</v>
      </c>
      <c r="J75" s="307">
        <f>TRUNC(J74*H75,2)</f>
        <v>318678.98</v>
      </c>
      <c r="L75" s="113">
        <f t="shared" si="0"/>
        <v>6</v>
      </c>
      <c r="M75" s="85" t="str">
        <f t="shared" si="1"/>
        <v/>
      </c>
      <c r="N75" s="86" t="str">
        <f t="shared" si="2"/>
        <v/>
      </c>
      <c r="O75" s="86" t="str">
        <f t="shared" si="14"/>
        <v/>
      </c>
      <c r="P75" s="87" t="str">
        <f t="shared" si="4"/>
        <v/>
      </c>
      <c r="Q75" s="86" t="str">
        <f t="shared" si="15"/>
        <v/>
      </c>
      <c r="R75" s="86" t="str">
        <f t="shared" si="16"/>
        <v/>
      </c>
    </row>
    <row r="76" spans="1:18" ht="14.4" thickTop="1" x14ac:dyDescent="0.25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L76" s="113">
        <f t="shared" si="0"/>
        <v>7</v>
      </c>
      <c r="M76" s="85" t="str">
        <f t="shared" si="1"/>
        <v/>
      </c>
      <c r="N76" s="86" t="str">
        <f t="shared" si="2"/>
        <v/>
      </c>
      <c r="O76" s="86" t="str">
        <f t="shared" si="14"/>
        <v/>
      </c>
      <c r="P76" s="87" t="str">
        <f t="shared" si="4"/>
        <v/>
      </c>
      <c r="Q76" s="86" t="str">
        <f t="shared" si="15"/>
        <v/>
      </c>
      <c r="R76" s="86" t="str">
        <f t="shared" si="16"/>
        <v/>
      </c>
    </row>
    <row r="77" spans="1:18" x14ac:dyDescent="0.25">
      <c r="A77" s="284" t="s">
        <v>657</v>
      </c>
      <c r="B77" s="286" t="s">
        <v>1</v>
      </c>
      <c r="C77" s="284" t="s">
        <v>2</v>
      </c>
      <c r="D77" s="284" t="s">
        <v>3</v>
      </c>
      <c r="E77" s="347" t="s">
        <v>19</v>
      </c>
      <c r="F77" s="347"/>
      <c r="G77" s="285" t="s">
        <v>4</v>
      </c>
      <c r="H77" s="286" t="s">
        <v>5</v>
      </c>
      <c r="I77" s="286" t="s">
        <v>6</v>
      </c>
      <c r="J77" s="286" t="s">
        <v>7</v>
      </c>
      <c r="L77" s="113">
        <f t="shared" si="0"/>
        <v>7</v>
      </c>
      <c r="M77" s="85" t="str">
        <f t="shared" si="1"/>
        <v/>
      </c>
      <c r="N77" s="86" t="str">
        <f t="shared" si="2"/>
        <v/>
      </c>
      <c r="O77" s="86" t="str">
        <f t="shared" si="14"/>
        <v/>
      </c>
      <c r="P77" s="87" t="str">
        <f t="shared" si="4"/>
        <v/>
      </c>
      <c r="Q77" s="86" t="str">
        <f t="shared" si="15"/>
        <v/>
      </c>
      <c r="R77" s="86" t="str">
        <f t="shared" si="16"/>
        <v/>
      </c>
    </row>
    <row r="78" spans="1:18" ht="39.6" customHeight="1" x14ac:dyDescent="0.25">
      <c r="A78" s="290" t="s">
        <v>20</v>
      </c>
      <c r="B78" s="292" t="s">
        <v>658</v>
      </c>
      <c r="C78" s="290" t="s">
        <v>13</v>
      </c>
      <c r="D78" s="290" t="s">
        <v>659</v>
      </c>
      <c r="E78" s="362" t="s">
        <v>315</v>
      </c>
      <c r="F78" s="362"/>
      <c r="G78" s="291" t="s">
        <v>375</v>
      </c>
      <c r="H78" s="294">
        <v>1</v>
      </c>
      <c r="I78" s="293">
        <f>SUMIF(L:L,$L78,M:M)</f>
        <v>34.56</v>
      </c>
      <c r="J78" s="293">
        <f>TRUNC(H78*I78,2)</f>
        <v>34.56</v>
      </c>
      <c r="L78" s="113">
        <f t="shared" ref="L78:L141" si="17">IF(AND(A79&lt;&gt;"",A78=""),L77+1,L77)</f>
        <v>7</v>
      </c>
      <c r="M78" s="85" t="str">
        <f t="shared" ref="M78:M141" si="18">IF(OR(A78="Insumo",A78="Composição Auxiliar"),J78,"")</f>
        <v/>
      </c>
      <c r="N78" s="86" t="str">
        <f t="shared" ref="N78:N141" si="19">IF(ISNUMBER(SEARCH("COM ENCARGOS COMPLEMENTARES",D78)),J78,"")</f>
        <v/>
      </c>
      <c r="O78" s="86" t="str">
        <f t="shared" si="14"/>
        <v/>
      </c>
      <c r="P78" s="87" t="str">
        <f t="shared" ref="P78:P141" si="20">IF(A78="Composição",A77,"")</f>
        <v xml:space="preserve"> 2.2.2 </v>
      </c>
      <c r="Q78" s="86">
        <f t="shared" si="15"/>
        <v>4.68</v>
      </c>
      <c r="R78" s="86">
        <f t="shared" si="16"/>
        <v>29.88</v>
      </c>
    </row>
    <row r="79" spans="1:18" ht="26.4" x14ac:dyDescent="0.25">
      <c r="A79" s="296" t="s">
        <v>22</v>
      </c>
      <c r="B79" s="298" t="s">
        <v>298</v>
      </c>
      <c r="C79" s="296" t="s">
        <v>10</v>
      </c>
      <c r="D79" s="296" t="s">
        <v>299</v>
      </c>
      <c r="E79" s="363" t="s">
        <v>27</v>
      </c>
      <c r="F79" s="363"/>
      <c r="G79" s="297" t="s">
        <v>28</v>
      </c>
      <c r="H79" s="300">
        <v>0.25</v>
      </c>
      <c r="I79" s="299">
        <f>SUMIFS('ANALÍTICA AUXILIARES'!J:J,'ANALÍTICA AUXILIARES'!A:A,"Composição",'ANALÍTICA AUXILIARES'!B:B,$B79)</f>
        <v>18.739999999999998</v>
      </c>
      <c r="J79" s="299">
        <f>TRUNC(H79*I79,2)</f>
        <v>4.68</v>
      </c>
      <c r="L79" s="113">
        <f t="shared" si="17"/>
        <v>7</v>
      </c>
      <c r="M79" s="85">
        <f t="shared" si="18"/>
        <v>4.68</v>
      </c>
      <c r="N79" s="86">
        <f t="shared" si="19"/>
        <v>4.68</v>
      </c>
      <c r="O79" s="86" t="str">
        <f t="shared" si="14"/>
        <v/>
      </c>
      <c r="P79" s="87" t="str">
        <f t="shared" si="20"/>
        <v/>
      </c>
      <c r="Q79" s="86" t="str">
        <f t="shared" si="15"/>
        <v/>
      </c>
      <c r="R79" s="86" t="str">
        <f t="shared" si="16"/>
        <v/>
      </c>
    </row>
    <row r="80" spans="1:18" x14ac:dyDescent="0.25">
      <c r="A80" s="301" t="s">
        <v>31</v>
      </c>
      <c r="B80" s="303" t="s">
        <v>572</v>
      </c>
      <c r="C80" s="301" t="str">
        <f>VLOOKUP(B80,INSUMOS!$A:$I,2,FALSE)</f>
        <v>ORSE</v>
      </c>
      <c r="D80" s="301" t="str">
        <f>VLOOKUP(B80,INSUMOS!$A:$I,3,FALSE)</f>
        <v>Fita adesiva marca 3M, largura 22mm, ref. VHB - rolo com 20m</v>
      </c>
      <c r="E80" s="361" t="str">
        <f>VLOOKUP(B80,INSUMOS!$A:$I,4,FALSE)</f>
        <v>Material</v>
      </c>
      <c r="F80" s="361"/>
      <c r="G80" s="302" t="str">
        <f>VLOOKUP(B80,INSUMOS!$A:$I,5,FALSE)</f>
        <v>un</v>
      </c>
      <c r="H80" s="305">
        <v>0.15</v>
      </c>
      <c r="I80" s="304">
        <f>VLOOKUP(B80,INSUMOS!$A:$I,8,FALSE)</f>
        <v>13.21</v>
      </c>
      <c r="J80" s="304">
        <f>TRUNC(H80*I80,2)</f>
        <v>1.98</v>
      </c>
      <c r="L80" s="113">
        <f t="shared" si="17"/>
        <v>7</v>
      </c>
      <c r="M80" s="85">
        <f t="shared" si="18"/>
        <v>1.98</v>
      </c>
      <c r="N80" s="86" t="str">
        <f t="shared" si="19"/>
        <v/>
      </c>
      <c r="O80" s="86">
        <f t="shared" si="14"/>
        <v>1.98</v>
      </c>
      <c r="P80" s="87" t="str">
        <f t="shared" si="20"/>
        <v/>
      </c>
      <c r="Q80" s="86" t="str">
        <f t="shared" si="15"/>
        <v/>
      </c>
      <c r="R80" s="86" t="str">
        <f t="shared" si="16"/>
        <v/>
      </c>
    </row>
    <row r="81" spans="1:18" ht="26.4" customHeight="1" x14ac:dyDescent="0.25">
      <c r="A81" s="301" t="s">
        <v>31</v>
      </c>
      <c r="B81" s="303" t="s">
        <v>471</v>
      </c>
      <c r="C81" s="301" t="str">
        <f>VLOOKUP(B81,INSUMOS!$A:$I,2,FALSE)</f>
        <v>ORSE</v>
      </c>
      <c r="D81" s="301" t="str">
        <f>VLOOKUP(B81,INSUMOS!$A:$I,3,FALSE)</f>
        <v>Placa indicativa de sentido em pvc, dim.: 20 x 30 cm</v>
      </c>
      <c r="E81" s="361" t="str">
        <f>VLOOKUP(B81,INSUMOS!$A:$I,4,FALSE)</f>
        <v>Material</v>
      </c>
      <c r="F81" s="361"/>
      <c r="G81" s="302" t="str">
        <f>VLOOKUP(B81,INSUMOS!$A:$I,5,FALSE)</f>
        <v>Un</v>
      </c>
      <c r="H81" s="305">
        <v>1</v>
      </c>
      <c r="I81" s="304">
        <f>VLOOKUP(B81,INSUMOS!$A:$I,8,FALSE)</f>
        <v>27.9</v>
      </c>
      <c r="J81" s="304">
        <f>TRUNC(H81*I81,2)</f>
        <v>27.9</v>
      </c>
      <c r="L81" s="113">
        <f t="shared" si="17"/>
        <v>7</v>
      </c>
      <c r="M81" s="85">
        <f t="shared" si="18"/>
        <v>27.9</v>
      </c>
      <c r="N81" s="86" t="str">
        <f t="shared" si="19"/>
        <v/>
      </c>
      <c r="O81" s="86">
        <f t="shared" si="14"/>
        <v>27.9</v>
      </c>
      <c r="P81" s="87" t="str">
        <f t="shared" si="20"/>
        <v/>
      </c>
      <c r="Q81" s="86" t="str">
        <f t="shared" si="15"/>
        <v/>
      </c>
      <c r="R81" s="86" t="str">
        <f t="shared" si="16"/>
        <v/>
      </c>
    </row>
    <row r="82" spans="1:18" ht="14.25" customHeight="1" x14ac:dyDescent="0.25">
      <c r="A82" s="309"/>
      <c r="B82" s="309"/>
      <c r="C82" s="309"/>
      <c r="D82" s="309"/>
      <c r="E82" s="309"/>
      <c r="F82" s="310"/>
      <c r="G82" s="309"/>
      <c r="H82" s="310"/>
      <c r="I82" s="309"/>
      <c r="J82" s="310"/>
      <c r="L82" s="113">
        <f t="shared" si="17"/>
        <v>7</v>
      </c>
      <c r="M82" s="85" t="str">
        <f t="shared" si="18"/>
        <v/>
      </c>
      <c r="N82" s="86" t="str">
        <f t="shared" si="19"/>
        <v/>
      </c>
      <c r="O82" s="86" t="str">
        <f t="shared" si="14"/>
        <v/>
      </c>
      <c r="P82" s="87" t="str">
        <f t="shared" si="20"/>
        <v/>
      </c>
      <c r="Q82" s="86" t="str">
        <f t="shared" si="15"/>
        <v/>
      </c>
      <c r="R82" s="86" t="str">
        <f t="shared" si="16"/>
        <v/>
      </c>
    </row>
    <row r="83" spans="1:18" ht="13.8" customHeight="1" x14ac:dyDescent="0.25">
      <c r="A83" s="309"/>
      <c r="B83" s="309"/>
      <c r="C83" s="309"/>
      <c r="D83" s="309"/>
      <c r="E83" s="309"/>
      <c r="F83" s="310"/>
      <c r="G83" s="309"/>
      <c r="H83" s="350" t="s">
        <v>39</v>
      </c>
      <c r="I83" s="350"/>
      <c r="J83" s="310">
        <f>TRUNC(SUMIF(L:L,$L83,M:M)*(1+$J$9),2)</f>
        <v>42.23</v>
      </c>
      <c r="L83" s="113">
        <f t="shared" si="17"/>
        <v>7</v>
      </c>
      <c r="M83" s="85" t="str">
        <f t="shared" si="18"/>
        <v/>
      </c>
      <c r="N83" s="86" t="str">
        <f t="shared" si="19"/>
        <v/>
      </c>
      <c r="O83" s="86" t="str">
        <f t="shared" si="14"/>
        <v/>
      </c>
      <c r="P83" s="87" t="str">
        <f t="shared" si="20"/>
        <v/>
      </c>
      <c r="Q83" s="86" t="str">
        <f t="shared" si="15"/>
        <v/>
      </c>
      <c r="R83" s="86" t="str">
        <f t="shared" si="16"/>
        <v/>
      </c>
    </row>
    <row r="84" spans="1:18" ht="14.4" thickBot="1" x14ac:dyDescent="0.3">
      <c r="A84" s="306"/>
      <c r="B84" s="306"/>
      <c r="C84" s="306"/>
      <c r="D84" s="306"/>
      <c r="E84" s="306"/>
      <c r="F84" s="306"/>
      <c r="G84" s="306" t="s">
        <v>40</v>
      </c>
      <c r="H84" s="308">
        <v>7</v>
      </c>
      <c r="I84" s="306" t="s">
        <v>41</v>
      </c>
      <c r="J84" s="307">
        <f>TRUNC(J83*H84,2)</f>
        <v>295.61</v>
      </c>
      <c r="L84" s="113">
        <f t="shared" si="17"/>
        <v>7</v>
      </c>
      <c r="M84" s="85" t="str">
        <f t="shared" si="18"/>
        <v/>
      </c>
      <c r="N84" s="86" t="str">
        <f t="shared" si="19"/>
        <v/>
      </c>
      <c r="O84" s="86" t="str">
        <f t="shared" si="14"/>
        <v/>
      </c>
      <c r="P84" s="87" t="str">
        <f t="shared" si="20"/>
        <v/>
      </c>
      <c r="Q84" s="86" t="str">
        <f t="shared" si="15"/>
        <v/>
      </c>
      <c r="R84" s="86" t="str">
        <f t="shared" si="16"/>
        <v/>
      </c>
    </row>
    <row r="85" spans="1:18" ht="14.4" thickTop="1" x14ac:dyDescent="0.2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L85" s="113">
        <f t="shared" si="17"/>
        <v>8</v>
      </c>
      <c r="M85" s="85" t="str">
        <f t="shared" si="18"/>
        <v/>
      </c>
      <c r="N85" s="86" t="str">
        <f t="shared" si="19"/>
        <v/>
      </c>
      <c r="O85" s="86" t="str">
        <f t="shared" si="14"/>
        <v/>
      </c>
      <c r="P85" s="87" t="str">
        <f t="shared" si="20"/>
        <v/>
      </c>
      <c r="Q85" s="86" t="str">
        <f t="shared" si="15"/>
        <v/>
      </c>
      <c r="R85" s="86" t="str">
        <f t="shared" si="16"/>
        <v/>
      </c>
    </row>
    <row r="86" spans="1:18" ht="14.25" customHeight="1" x14ac:dyDescent="0.25">
      <c r="A86" s="284" t="s">
        <v>660</v>
      </c>
      <c r="B86" s="286" t="s">
        <v>1</v>
      </c>
      <c r="C86" s="284" t="s">
        <v>2</v>
      </c>
      <c r="D86" s="284" t="s">
        <v>3</v>
      </c>
      <c r="E86" s="347" t="s">
        <v>19</v>
      </c>
      <c r="F86" s="347"/>
      <c r="G86" s="285" t="s">
        <v>4</v>
      </c>
      <c r="H86" s="286" t="s">
        <v>5</v>
      </c>
      <c r="I86" s="286" t="s">
        <v>6</v>
      </c>
      <c r="J86" s="286" t="s">
        <v>7</v>
      </c>
      <c r="L86" s="113">
        <f t="shared" si="17"/>
        <v>8</v>
      </c>
      <c r="M86" s="85" t="str">
        <f t="shared" si="18"/>
        <v/>
      </c>
      <c r="N86" s="86" t="str">
        <f t="shared" si="19"/>
        <v/>
      </c>
      <c r="O86" s="86" t="str">
        <f t="shared" si="14"/>
        <v/>
      </c>
      <c r="P86" s="87" t="str">
        <f t="shared" si="20"/>
        <v/>
      </c>
      <c r="Q86" s="86" t="str">
        <f t="shared" si="15"/>
        <v/>
      </c>
      <c r="R86" s="86" t="str">
        <f t="shared" si="16"/>
        <v/>
      </c>
    </row>
    <row r="87" spans="1:18" ht="25.5" customHeight="1" x14ac:dyDescent="0.25">
      <c r="A87" s="290" t="s">
        <v>20</v>
      </c>
      <c r="B87" s="292" t="s">
        <v>661</v>
      </c>
      <c r="C87" s="290" t="s">
        <v>13</v>
      </c>
      <c r="D87" s="290" t="s">
        <v>662</v>
      </c>
      <c r="E87" s="362" t="s">
        <v>315</v>
      </c>
      <c r="F87" s="362"/>
      <c r="G87" s="291" t="s">
        <v>28</v>
      </c>
      <c r="H87" s="294">
        <v>1</v>
      </c>
      <c r="I87" s="293">
        <f>SUMIF(L:L,$L87,M:M)</f>
        <v>189.89</v>
      </c>
      <c r="J87" s="293">
        <f>TRUNC(H87*I87,2)</f>
        <v>189.89</v>
      </c>
      <c r="L87" s="113">
        <f t="shared" si="17"/>
        <v>8</v>
      </c>
      <c r="M87" s="85" t="str">
        <f t="shared" si="18"/>
        <v/>
      </c>
      <c r="N87" s="86" t="str">
        <f t="shared" si="19"/>
        <v/>
      </c>
      <c r="O87" s="86" t="str">
        <f t="shared" si="14"/>
        <v/>
      </c>
      <c r="P87" s="87" t="str">
        <f t="shared" si="20"/>
        <v xml:space="preserve"> 2.2.3 </v>
      </c>
      <c r="Q87" s="86">
        <f t="shared" si="15"/>
        <v>56.15</v>
      </c>
      <c r="R87" s="86">
        <f t="shared" si="16"/>
        <v>133.73999999999998</v>
      </c>
    </row>
    <row r="88" spans="1:18" ht="25.5" customHeight="1" x14ac:dyDescent="0.25">
      <c r="A88" s="296" t="s">
        <v>22</v>
      </c>
      <c r="B88" s="298" t="s">
        <v>663</v>
      </c>
      <c r="C88" s="296" t="s">
        <v>10</v>
      </c>
      <c r="D88" s="296" t="s">
        <v>664</v>
      </c>
      <c r="E88" s="363" t="s">
        <v>27</v>
      </c>
      <c r="F88" s="363"/>
      <c r="G88" s="297" t="s">
        <v>28</v>
      </c>
      <c r="H88" s="300">
        <v>1</v>
      </c>
      <c r="I88" s="299">
        <f>SUMIFS('ANALÍTICA AUXILIARES'!J:J,'ANALÍTICA AUXILIARES'!A:A,"Composição",'ANALÍTICA AUXILIARES'!B:B,$B88)</f>
        <v>18.670000000000002</v>
      </c>
      <c r="J88" s="299">
        <f>TRUNC(H88*I88,2)</f>
        <v>18.670000000000002</v>
      </c>
      <c r="L88" s="113">
        <f t="shared" si="17"/>
        <v>8</v>
      </c>
      <c r="M88" s="85">
        <f t="shared" si="18"/>
        <v>18.670000000000002</v>
      </c>
      <c r="N88" s="86">
        <f t="shared" si="19"/>
        <v>18.670000000000002</v>
      </c>
      <c r="O88" s="86" t="str">
        <f t="shared" si="14"/>
        <v/>
      </c>
      <c r="P88" s="87" t="str">
        <f t="shared" si="20"/>
        <v/>
      </c>
      <c r="Q88" s="86" t="str">
        <f t="shared" si="15"/>
        <v/>
      </c>
      <c r="R88" s="86" t="str">
        <f t="shared" si="16"/>
        <v/>
      </c>
    </row>
    <row r="89" spans="1:18" ht="25.5" customHeight="1" x14ac:dyDescent="0.25">
      <c r="A89" s="296" t="s">
        <v>22</v>
      </c>
      <c r="B89" s="298" t="s">
        <v>298</v>
      </c>
      <c r="C89" s="296" t="s">
        <v>10</v>
      </c>
      <c r="D89" s="296" t="s">
        <v>299</v>
      </c>
      <c r="E89" s="363" t="s">
        <v>27</v>
      </c>
      <c r="F89" s="363"/>
      <c r="G89" s="297" t="s">
        <v>28</v>
      </c>
      <c r="H89" s="300">
        <v>2</v>
      </c>
      <c r="I89" s="299">
        <f>SUMIFS('ANALÍTICA AUXILIARES'!J:J,'ANALÍTICA AUXILIARES'!A:A,"Composição",'ANALÍTICA AUXILIARES'!B:B,$B89)</f>
        <v>18.739999999999998</v>
      </c>
      <c r="J89" s="299">
        <f>TRUNC(H89*I89,2)</f>
        <v>37.479999999999997</v>
      </c>
      <c r="L89" s="113">
        <f t="shared" si="17"/>
        <v>8</v>
      </c>
      <c r="M89" s="85">
        <f t="shared" si="18"/>
        <v>37.479999999999997</v>
      </c>
      <c r="N89" s="86">
        <f t="shared" si="19"/>
        <v>37.479999999999997</v>
      </c>
      <c r="O89" s="86" t="str">
        <f t="shared" si="14"/>
        <v/>
      </c>
      <c r="P89" s="87" t="str">
        <f t="shared" si="20"/>
        <v/>
      </c>
      <c r="Q89" s="86" t="str">
        <f t="shared" si="15"/>
        <v/>
      </c>
      <c r="R89" s="86" t="str">
        <f t="shared" si="16"/>
        <v/>
      </c>
    </row>
    <row r="90" spans="1:18" ht="52.8" x14ac:dyDescent="0.25">
      <c r="A90" s="296" t="s">
        <v>22</v>
      </c>
      <c r="B90" s="298" t="s">
        <v>665</v>
      </c>
      <c r="C90" s="296" t="s">
        <v>10</v>
      </c>
      <c r="D90" s="296" t="s">
        <v>666</v>
      </c>
      <c r="E90" s="363" t="s">
        <v>44</v>
      </c>
      <c r="F90" s="363"/>
      <c r="G90" s="297" t="s">
        <v>45</v>
      </c>
      <c r="H90" s="300">
        <v>0.7</v>
      </c>
      <c r="I90" s="299">
        <f>SUMIFS('ANALÍTICA AUXILIARES'!J:J,'ANALÍTICA AUXILIARES'!A:A,"Composição",'ANALÍTICA AUXILIARES'!B:B,$B90)</f>
        <v>176.54</v>
      </c>
      <c r="J90" s="299">
        <f>TRUNC(H90*I90,2)</f>
        <v>123.57</v>
      </c>
      <c r="L90" s="113">
        <f t="shared" si="17"/>
        <v>8</v>
      </c>
      <c r="M90" s="85">
        <f t="shared" si="18"/>
        <v>123.57</v>
      </c>
      <c r="N90" s="86" t="str">
        <f t="shared" si="19"/>
        <v/>
      </c>
      <c r="O90" s="86">
        <f t="shared" si="14"/>
        <v>123.57</v>
      </c>
      <c r="P90" s="87" t="str">
        <f t="shared" si="20"/>
        <v/>
      </c>
      <c r="Q90" s="86" t="str">
        <f t="shared" si="15"/>
        <v/>
      </c>
      <c r="R90" s="86" t="str">
        <f t="shared" si="16"/>
        <v/>
      </c>
    </row>
    <row r="91" spans="1:18" ht="13.8" customHeight="1" x14ac:dyDescent="0.25">
      <c r="A91" s="296" t="s">
        <v>22</v>
      </c>
      <c r="B91" s="298" t="s">
        <v>667</v>
      </c>
      <c r="C91" s="296" t="s">
        <v>10</v>
      </c>
      <c r="D91" s="296" t="s">
        <v>668</v>
      </c>
      <c r="E91" s="363" t="s">
        <v>44</v>
      </c>
      <c r="F91" s="363"/>
      <c r="G91" s="297" t="s">
        <v>46</v>
      </c>
      <c r="H91" s="300">
        <v>0.3</v>
      </c>
      <c r="I91" s="299">
        <f>SUMIFS('ANALÍTICA AUXILIARES'!J:J,'ANALÍTICA AUXILIARES'!A:A,"Composição",'ANALÍTICA AUXILIARES'!B:B,$B91)</f>
        <v>33.9</v>
      </c>
      <c r="J91" s="299">
        <f>TRUNC(H91*I91,2)</f>
        <v>10.17</v>
      </c>
      <c r="L91" s="113">
        <f t="shared" si="17"/>
        <v>8</v>
      </c>
      <c r="M91" s="85">
        <f t="shared" si="18"/>
        <v>10.17</v>
      </c>
      <c r="N91" s="86" t="str">
        <f t="shared" si="19"/>
        <v/>
      </c>
      <c r="O91" s="86">
        <f t="shared" si="14"/>
        <v>10.17</v>
      </c>
      <c r="P91" s="87" t="str">
        <f t="shared" si="20"/>
        <v/>
      </c>
      <c r="Q91" s="86" t="str">
        <f t="shared" si="15"/>
        <v/>
      </c>
      <c r="R91" s="86" t="str">
        <f t="shared" si="16"/>
        <v/>
      </c>
    </row>
    <row r="92" spans="1:18" x14ac:dyDescent="0.25">
      <c r="A92" s="309"/>
      <c r="B92" s="309"/>
      <c r="C92" s="309"/>
      <c r="D92" s="309"/>
      <c r="E92" s="309"/>
      <c r="F92" s="310"/>
      <c r="G92" s="309"/>
      <c r="H92" s="310"/>
      <c r="I92" s="309"/>
      <c r="J92" s="310"/>
      <c r="L92" s="113">
        <f t="shared" si="17"/>
        <v>8</v>
      </c>
      <c r="M92" s="85" t="str">
        <f t="shared" si="18"/>
        <v/>
      </c>
      <c r="N92" s="86" t="str">
        <f t="shared" si="19"/>
        <v/>
      </c>
      <c r="O92" s="86" t="str">
        <f t="shared" si="14"/>
        <v/>
      </c>
      <c r="P92" s="87" t="str">
        <f t="shared" si="20"/>
        <v/>
      </c>
      <c r="Q92" s="86" t="str">
        <f t="shared" si="15"/>
        <v/>
      </c>
      <c r="R92" s="86" t="str">
        <f t="shared" si="16"/>
        <v/>
      </c>
    </row>
    <row r="93" spans="1:18" x14ac:dyDescent="0.25">
      <c r="A93" s="309"/>
      <c r="B93" s="309"/>
      <c r="C93" s="309"/>
      <c r="D93" s="309"/>
      <c r="E93" s="309"/>
      <c r="F93" s="310"/>
      <c r="G93" s="309"/>
      <c r="H93" s="350" t="s">
        <v>39</v>
      </c>
      <c r="I93" s="350"/>
      <c r="J93" s="310">
        <f>TRUNC(SUMIF(L:L,$L93,M:M)*(1+$J$9),2)</f>
        <v>232.08</v>
      </c>
      <c r="L93" s="113">
        <f t="shared" si="17"/>
        <v>8</v>
      </c>
      <c r="M93" s="85" t="str">
        <f t="shared" si="18"/>
        <v/>
      </c>
      <c r="N93" s="86" t="str">
        <f t="shared" si="19"/>
        <v/>
      </c>
      <c r="O93" s="86" t="str">
        <f t="shared" si="14"/>
        <v/>
      </c>
      <c r="P93" s="87" t="str">
        <f t="shared" si="20"/>
        <v/>
      </c>
      <c r="Q93" s="86" t="str">
        <f t="shared" si="15"/>
        <v/>
      </c>
      <c r="R93" s="86" t="str">
        <f t="shared" si="16"/>
        <v/>
      </c>
    </row>
    <row r="94" spans="1:18" ht="14.4" thickBot="1" x14ac:dyDescent="0.3">
      <c r="A94" s="306"/>
      <c r="B94" s="306"/>
      <c r="C94" s="306"/>
      <c r="D94" s="306"/>
      <c r="E94" s="306"/>
      <c r="F94" s="306"/>
      <c r="G94" s="306" t="s">
        <v>40</v>
      </c>
      <c r="H94" s="308">
        <v>16</v>
      </c>
      <c r="I94" s="306" t="s">
        <v>41</v>
      </c>
      <c r="J94" s="307">
        <f>TRUNC(J93*H94,2)</f>
        <v>3713.28</v>
      </c>
      <c r="L94" s="113">
        <f t="shared" si="17"/>
        <v>8</v>
      </c>
      <c r="M94" s="85" t="str">
        <f t="shared" si="18"/>
        <v/>
      </c>
      <c r="N94" s="86" t="str">
        <f t="shared" si="19"/>
        <v/>
      </c>
      <c r="O94" s="86" t="str">
        <f t="shared" si="14"/>
        <v/>
      </c>
      <c r="P94" s="87" t="str">
        <f t="shared" si="20"/>
        <v/>
      </c>
      <c r="Q94" s="86" t="str">
        <f t="shared" si="15"/>
        <v/>
      </c>
      <c r="R94" s="86" t="str">
        <f t="shared" si="16"/>
        <v/>
      </c>
    </row>
    <row r="95" spans="1:18" ht="14.4" thickTop="1" x14ac:dyDescent="0.2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L95" s="113">
        <f t="shared" si="17"/>
        <v>9</v>
      </c>
      <c r="M95" s="85" t="str">
        <f t="shared" si="18"/>
        <v/>
      </c>
      <c r="N95" s="86" t="str">
        <f t="shared" si="19"/>
        <v/>
      </c>
      <c r="O95" s="86" t="str">
        <f t="shared" si="14"/>
        <v/>
      </c>
      <c r="P95" s="87" t="str">
        <f t="shared" si="20"/>
        <v/>
      </c>
      <c r="Q95" s="86" t="str">
        <f t="shared" si="15"/>
        <v/>
      </c>
      <c r="R95" s="86" t="str">
        <f t="shared" si="16"/>
        <v/>
      </c>
    </row>
    <row r="96" spans="1:18" x14ac:dyDescent="0.25">
      <c r="A96" s="287" t="s">
        <v>765</v>
      </c>
      <c r="B96" s="287"/>
      <c r="C96" s="287"/>
      <c r="D96" s="287" t="s">
        <v>766</v>
      </c>
      <c r="E96" s="287"/>
      <c r="F96" s="346"/>
      <c r="G96" s="346"/>
      <c r="H96" s="288"/>
      <c r="I96" s="287"/>
      <c r="J96" s="289"/>
      <c r="L96" s="113">
        <f t="shared" si="17"/>
        <v>9</v>
      </c>
      <c r="M96" s="85" t="str">
        <f t="shared" si="18"/>
        <v/>
      </c>
      <c r="N96" s="86" t="str">
        <f t="shared" si="19"/>
        <v/>
      </c>
      <c r="O96" s="86" t="str">
        <f t="shared" si="14"/>
        <v/>
      </c>
      <c r="P96" s="87" t="str">
        <f t="shared" si="20"/>
        <v/>
      </c>
      <c r="Q96" s="86" t="str">
        <f t="shared" si="15"/>
        <v/>
      </c>
      <c r="R96" s="86" t="str">
        <f t="shared" si="16"/>
        <v/>
      </c>
    </row>
    <row r="97" spans="1:18" ht="14.25" customHeight="1" x14ac:dyDescent="0.25">
      <c r="A97" s="284" t="s">
        <v>669</v>
      </c>
      <c r="B97" s="286" t="s">
        <v>1</v>
      </c>
      <c r="C97" s="284" t="s">
        <v>2</v>
      </c>
      <c r="D97" s="284" t="s">
        <v>3</v>
      </c>
      <c r="E97" s="347" t="s">
        <v>19</v>
      </c>
      <c r="F97" s="347"/>
      <c r="G97" s="285" t="s">
        <v>4</v>
      </c>
      <c r="H97" s="286" t="s">
        <v>5</v>
      </c>
      <c r="I97" s="286" t="s">
        <v>6</v>
      </c>
      <c r="J97" s="286" t="s">
        <v>7</v>
      </c>
      <c r="L97" s="113">
        <f t="shared" si="17"/>
        <v>9</v>
      </c>
      <c r="M97" s="85" t="str">
        <f t="shared" si="18"/>
        <v/>
      </c>
      <c r="N97" s="86" t="str">
        <f t="shared" si="19"/>
        <v/>
      </c>
      <c r="O97" s="86" t="str">
        <f t="shared" si="14"/>
        <v/>
      </c>
      <c r="P97" s="87" t="str">
        <f t="shared" si="20"/>
        <v/>
      </c>
      <c r="Q97" s="86" t="str">
        <f t="shared" si="15"/>
        <v/>
      </c>
      <c r="R97" s="86" t="str">
        <f t="shared" si="16"/>
        <v/>
      </c>
    </row>
    <row r="98" spans="1:18" ht="26.4" customHeight="1" x14ac:dyDescent="0.25">
      <c r="A98" s="290" t="s">
        <v>20</v>
      </c>
      <c r="B98" s="292" t="s">
        <v>670</v>
      </c>
      <c r="C98" s="290" t="s">
        <v>13</v>
      </c>
      <c r="D98" s="290" t="s">
        <v>671</v>
      </c>
      <c r="E98" s="362" t="s">
        <v>315</v>
      </c>
      <c r="F98" s="362"/>
      <c r="G98" s="291" t="s">
        <v>16</v>
      </c>
      <c r="H98" s="294">
        <v>1</v>
      </c>
      <c r="I98" s="293">
        <f>SUMIF(L:L,$L98,M:M)</f>
        <v>67.41</v>
      </c>
      <c r="J98" s="293">
        <f>TRUNC(H98*I98,2)</f>
        <v>67.41</v>
      </c>
      <c r="L98" s="113">
        <f t="shared" si="17"/>
        <v>9</v>
      </c>
      <c r="M98" s="85" t="str">
        <f t="shared" si="18"/>
        <v/>
      </c>
      <c r="N98" s="86" t="str">
        <f t="shared" si="19"/>
        <v/>
      </c>
      <c r="O98" s="86" t="str">
        <f t="shared" si="14"/>
        <v/>
      </c>
      <c r="P98" s="87" t="str">
        <f t="shared" si="20"/>
        <v xml:space="preserve"> 2.3.1 </v>
      </c>
      <c r="Q98" s="86">
        <f t="shared" si="15"/>
        <v>9.42</v>
      </c>
      <c r="R98" s="86">
        <f t="shared" si="16"/>
        <v>57.99</v>
      </c>
    </row>
    <row r="99" spans="1:18" ht="26.4" x14ac:dyDescent="0.25">
      <c r="A99" s="296" t="s">
        <v>22</v>
      </c>
      <c r="B99" s="298" t="s">
        <v>313</v>
      </c>
      <c r="C99" s="296" t="s">
        <v>10</v>
      </c>
      <c r="D99" s="296" t="s">
        <v>314</v>
      </c>
      <c r="E99" s="363" t="s">
        <v>27</v>
      </c>
      <c r="F99" s="363"/>
      <c r="G99" s="297" t="s">
        <v>28</v>
      </c>
      <c r="H99" s="300">
        <v>0.22</v>
      </c>
      <c r="I99" s="299">
        <f>SUMIFS('ANALÍTICA AUXILIARES'!J:J,'ANALÍTICA AUXILIARES'!A:A,"Composição",'ANALÍTICA AUXILIARES'!B:B,$B99)</f>
        <v>24.1</v>
      </c>
      <c r="J99" s="299">
        <f>TRUNC(H99*I99,2)</f>
        <v>5.3</v>
      </c>
      <c r="L99" s="113">
        <f t="shared" si="17"/>
        <v>9</v>
      </c>
      <c r="M99" s="85">
        <f t="shared" si="18"/>
        <v>5.3</v>
      </c>
      <c r="N99" s="86">
        <f t="shared" si="19"/>
        <v>5.3</v>
      </c>
      <c r="O99" s="86" t="str">
        <f t="shared" si="14"/>
        <v/>
      </c>
      <c r="P99" s="87" t="str">
        <f t="shared" si="20"/>
        <v/>
      </c>
      <c r="Q99" s="86" t="str">
        <f t="shared" si="15"/>
        <v/>
      </c>
      <c r="R99" s="86" t="str">
        <f t="shared" si="16"/>
        <v/>
      </c>
    </row>
    <row r="100" spans="1:18" ht="26.4" x14ac:dyDescent="0.25">
      <c r="A100" s="296" t="s">
        <v>22</v>
      </c>
      <c r="B100" s="298" t="s">
        <v>298</v>
      </c>
      <c r="C100" s="296" t="s">
        <v>10</v>
      </c>
      <c r="D100" s="296" t="s">
        <v>299</v>
      </c>
      <c r="E100" s="363" t="s">
        <v>27</v>
      </c>
      <c r="F100" s="363"/>
      <c r="G100" s="297" t="s">
        <v>28</v>
      </c>
      <c r="H100" s="300">
        <v>0.22</v>
      </c>
      <c r="I100" s="299">
        <f>SUMIFS('ANALÍTICA AUXILIARES'!J:J,'ANALÍTICA AUXILIARES'!A:A,"Composição",'ANALÍTICA AUXILIARES'!B:B,$B100)</f>
        <v>18.739999999999998</v>
      </c>
      <c r="J100" s="299">
        <f>TRUNC(H100*I100,2)</f>
        <v>4.12</v>
      </c>
      <c r="L100" s="113">
        <f t="shared" si="17"/>
        <v>9</v>
      </c>
      <c r="M100" s="85">
        <f t="shared" si="18"/>
        <v>4.12</v>
      </c>
      <c r="N100" s="86">
        <f t="shared" si="19"/>
        <v>4.12</v>
      </c>
      <c r="O100" s="86" t="str">
        <f t="shared" ref="O100:O163" si="21">IF(N100&lt;&gt;"","",M100)</f>
        <v/>
      </c>
      <c r="P100" s="87" t="str">
        <f t="shared" si="20"/>
        <v/>
      </c>
      <c r="Q100" s="86" t="str">
        <f t="shared" ref="Q100:Q163" si="22">IF(P100&lt;&gt;"",SUMIF(L100:L200,L100,N100:N200),"")</f>
        <v/>
      </c>
      <c r="R100" s="86" t="str">
        <f t="shared" ref="R100:R163" si="23">IF(P100&lt;&gt;"",SUMIF(L100:L200,L100,O100:O200),"")</f>
        <v/>
      </c>
    </row>
    <row r="101" spans="1:18" ht="26.4" customHeight="1" x14ac:dyDescent="0.25">
      <c r="A101" s="301" t="s">
        <v>31</v>
      </c>
      <c r="B101" s="303" t="s">
        <v>386</v>
      </c>
      <c r="C101" s="301" t="str">
        <f>VLOOKUP(B101,INSUMOS!$A:$I,2,FALSE)</f>
        <v>CPOS</v>
      </c>
      <c r="D101" s="301" t="str">
        <f>VLOOKUP(B101,INSUMOS!$A:$I,3,FALSE)</f>
        <v>Eletroduto galvanizado por imersão a quente, DN = 2´ - NBR5598</v>
      </c>
      <c r="E101" s="361" t="str">
        <f>VLOOKUP(B101,INSUMOS!$A:$I,4,FALSE)</f>
        <v>Material</v>
      </c>
      <c r="F101" s="361"/>
      <c r="G101" s="302" t="str">
        <f>VLOOKUP(B101,INSUMOS!$A:$I,5,FALSE)</f>
        <v>M</v>
      </c>
      <c r="H101" s="305">
        <v>1.2</v>
      </c>
      <c r="I101" s="304">
        <f>VLOOKUP(B101,INSUMOS!$A:$I,8,FALSE)</f>
        <v>48.33</v>
      </c>
      <c r="J101" s="304">
        <f>TRUNC(H101*I101,2)</f>
        <v>57.99</v>
      </c>
      <c r="L101" s="113">
        <f t="shared" si="17"/>
        <v>9</v>
      </c>
      <c r="M101" s="85">
        <f t="shared" si="18"/>
        <v>57.99</v>
      </c>
      <c r="N101" s="86" t="str">
        <f t="shared" si="19"/>
        <v/>
      </c>
      <c r="O101" s="86">
        <f t="shared" si="21"/>
        <v>57.99</v>
      </c>
      <c r="P101" s="87" t="str">
        <f t="shared" si="20"/>
        <v/>
      </c>
      <c r="Q101" s="86" t="str">
        <f t="shared" si="22"/>
        <v/>
      </c>
      <c r="R101" s="86" t="str">
        <f t="shared" si="23"/>
        <v/>
      </c>
    </row>
    <row r="102" spans="1:18" ht="39.6" customHeight="1" x14ac:dyDescent="0.25">
      <c r="A102" s="309"/>
      <c r="B102" s="309"/>
      <c r="C102" s="309"/>
      <c r="D102" s="309"/>
      <c r="E102" s="309"/>
      <c r="F102" s="310"/>
      <c r="G102" s="309"/>
      <c r="H102" s="310"/>
      <c r="I102" s="309"/>
      <c r="J102" s="310"/>
      <c r="L102" s="113">
        <f t="shared" si="17"/>
        <v>9</v>
      </c>
      <c r="M102" s="85" t="str">
        <f t="shared" si="18"/>
        <v/>
      </c>
      <c r="N102" s="86" t="str">
        <f t="shared" si="19"/>
        <v/>
      </c>
      <c r="O102" s="86" t="str">
        <f t="shared" si="21"/>
        <v/>
      </c>
      <c r="P102" s="87" t="str">
        <f t="shared" si="20"/>
        <v/>
      </c>
      <c r="Q102" s="86" t="str">
        <f t="shared" si="22"/>
        <v/>
      </c>
      <c r="R102" s="86" t="str">
        <f t="shared" si="23"/>
        <v/>
      </c>
    </row>
    <row r="103" spans="1:18" ht="26.4" customHeight="1" x14ac:dyDescent="0.25">
      <c r="A103" s="309"/>
      <c r="B103" s="309"/>
      <c r="C103" s="309"/>
      <c r="D103" s="309"/>
      <c r="E103" s="309"/>
      <c r="F103" s="310"/>
      <c r="G103" s="309"/>
      <c r="H103" s="350" t="s">
        <v>39</v>
      </c>
      <c r="I103" s="350"/>
      <c r="J103" s="310">
        <f>TRUNC(SUMIF(L:L,$L103,M:M)*(1+$J$9),2)</f>
        <v>82.38</v>
      </c>
      <c r="L103" s="113">
        <f t="shared" si="17"/>
        <v>9</v>
      </c>
      <c r="M103" s="85" t="str">
        <f t="shared" si="18"/>
        <v/>
      </c>
      <c r="N103" s="86" t="str">
        <f t="shared" si="19"/>
        <v/>
      </c>
      <c r="O103" s="86" t="str">
        <f t="shared" si="21"/>
        <v/>
      </c>
      <c r="P103" s="87" t="str">
        <f t="shared" si="20"/>
        <v/>
      </c>
      <c r="Q103" s="86" t="str">
        <f t="shared" si="22"/>
        <v/>
      </c>
      <c r="R103" s="86" t="str">
        <f t="shared" si="23"/>
        <v/>
      </c>
    </row>
    <row r="104" spans="1:18" ht="26.4" customHeight="1" thickBot="1" x14ac:dyDescent="0.3">
      <c r="A104" s="306"/>
      <c r="B104" s="306"/>
      <c r="C104" s="306"/>
      <c r="D104" s="306"/>
      <c r="E104" s="306"/>
      <c r="F104" s="306"/>
      <c r="G104" s="306" t="s">
        <v>40</v>
      </c>
      <c r="H104" s="308">
        <v>98</v>
      </c>
      <c r="I104" s="306" t="s">
        <v>41</v>
      </c>
      <c r="J104" s="307">
        <f>TRUNC(J103*H104,2)</f>
        <v>8073.24</v>
      </c>
      <c r="L104" s="113">
        <f t="shared" si="17"/>
        <v>9</v>
      </c>
      <c r="M104" s="85" t="str">
        <f t="shared" si="18"/>
        <v/>
      </c>
      <c r="N104" s="86" t="str">
        <f t="shared" si="19"/>
        <v/>
      </c>
      <c r="O104" s="86" t="str">
        <f t="shared" si="21"/>
        <v/>
      </c>
      <c r="P104" s="87" t="str">
        <f t="shared" si="20"/>
        <v/>
      </c>
      <c r="Q104" s="86" t="str">
        <f t="shared" si="22"/>
        <v/>
      </c>
      <c r="R104" s="86" t="str">
        <f t="shared" si="23"/>
        <v/>
      </c>
    </row>
    <row r="105" spans="1:18" ht="14.4" thickTop="1" x14ac:dyDescent="0.2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L105" s="113">
        <f t="shared" si="17"/>
        <v>10</v>
      </c>
      <c r="M105" s="85" t="str">
        <f t="shared" si="18"/>
        <v/>
      </c>
      <c r="N105" s="86" t="str">
        <f t="shared" si="19"/>
        <v/>
      </c>
      <c r="O105" s="86" t="str">
        <f t="shared" si="21"/>
        <v/>
      </c>
      <c r="P105" s="87" t="str">
        <f t="shared" si="20"/>
        <v/>
      </c>
      <c r="Q105" s="86" t="str">
        <f t="shared" si="22"/>
        <v/>
      </c>
      <c r="R105" s="86" t="str">
        <f t="shared" si="23"/>
        <v/>
      </c>
    </row>
    <row r="106" spans="1:18" x14ac:dyDescent="0.25">
      <c r="A106" s="284" t="s">
        <v>672</v>
      </c>
      <c r="B106" s="286" t="s">
        <v>1</v>
      </c>
      <c r="C106" s="284" t="s">
        <v>2</v>
      </c>
      <c r="D106" s="284" t="s">
        <v>3</v>
      </c>
      <c r="E106" s="347" t="s">
        <v>19</v>
      </c>
      <c r="F106" s="347"/>
      <c r="G106" s="285" t="s">
        <v>4</v>
      </c>
      <c r="H106" s="286" t="s">
        <v>5</v>
      </c>
      <c r="I106" s="286" t="s">
        <v>6</v>
      </c>
      <c r="J106" s="286" t="s">
        <v>7</v>
      </c>
      <c r="L106" s="113">
        <f t="shared" si="17"/>
        <v>10</v>
      </c>
      <c r="M106" s="85" t="str">
        <f t="shared" si="18"/>
        <v/>
      </c>
      <c r="N106" s="86" t="str">
        <f t="shared" si="19"/>
        <v/>
      </c>
      <c r="O106" s="86" t="str">
        <f t="shared" si="21"/>
        <v/>
      </c>
      <c r="P106" s="87" t="str">
        <f t="shared" si="20"/>
        <v/>
      </c>
      <c r="Q106" s="86" t="str">
        <f t="shared" si="22"/>
        <v/>
      </c>
      <c r="R106" s="86" t="str">
        <f t="shared" si="23"/>
        <v/>
      </c>
    </row>
    <row r="107" spans="1:18" ht="13.8" customHeight="1" x14ac:dyDescent="0.25">
      <c r="A107" s="290" t="s">
        <v>20</v>
      </c>
      <c r="B107" s="292" t="s">
        <v>673</v>
      </c>
      <c r="C107" s="290" t="s">
        <v>13</v>
      </c>
      <c r="D107" s="290" t="s">
        <v>674</v>
      </c>
      <c r="E107" s="362" t="s">
        <v>315</v>
      </c>
      <c r="F107" s="362"/>
      <c r="G107" s="291" t="s">
        <v>16</v>
      </c>
      <c r="H107" s="294">
        <v>1</v>
      </c>
      <c r="I107" s="293">
        <f>SUMIF(L:L,$L107,M:M)</f>
        <v>131.71</v>
      </c>
      <c r="J107" s="293">
        <f>TRUNC(H107*I107,2)</f>
        <v>131.71</v>
      </c>
      <c r="L107" s="113">
        <f t="shared" si="17"/>
        <v>10</v>
      </c>
      <c r="M107" s="85" t="str">
        <f t="shared" si="18"/>
        <v/>
      </c>
      <c r="N107" s="86" t="str">
        <f t="shared" si="19"/>
        <v/>
      </c>
      <c r="O107" s="86" t="str">
        <f t="shared" si="21"/>
        <v/>
      </c>
      <c r="P107" s="87" t="str">
        <f t="shared" si="20"/>
        <v xml:space="preserve"> 2.3.2 </v>
      </c>
      <c r="Q107" s="86">
        <f t="shared" si="22"/>
        <v>32.120000000000005</v>
      </c>
      <c r="R107" s="86">
        <f t="shared" si="23"/>
        <v>99.59</v>
      </c>
    </row>
    <row r="108" spans="1:18" ht="14.25" customHeight="1" x14ac:dyDescent="0.25">
      <c r="A108" s="296" t="s">
        <v>22</v>
      </c>
      <c r="B108" s="298" t="s">
        <v>313</v>
      </c>
      <c r="C108" s="296" t="s">
        <v>10</v>
      </c>
      <c r="D108" s="296" t="s">
        <v>314</v>
      </c>
      <c r="E108" s="363" t="s">
        <v>27</v>
      </c>
      <c r="F108" s="363"/>
      <c r="G108" s="297" t="s">
        <v>28</v>
      </c>
      <c r="H108" s="300">
        <v>0.75</v>
      </c>
      <c r="I108" s="299">
        <f>SUMIFS('ANALÍTICA AUXILIARES'!J:J,'ANALÍTICA AUXILIARES'!A:A,"Composição",'ANALÍTICA AUXILIARES'!B:B,$B108)</f>
        <v>24.1</v>
      </c>
      <c r="J108" s="299">
        <f>TRUNC(H108*I108,2)</f>
        <v>18.07</v>
      </c>
      <c r="L108" s="113">
        <f t="shared" si="17"/>
        <v>10</v>
      </c>
      <c r="M108" s="85">
        <f t="shared" si="18"/>
        <v>18.07</v>
      </c>
      <c r="N108" s="86">
        <f t="shared" si="19"/>
        <v>18.07</v>
      </c>
      <c r="O108" s="86" t="str">
        <f t="shared" si="21"/>
        <v/>
      </c>
      <c r="P108" s="87" t="str">
        <f t="shared" si="20"/>
        <v/>
      </c>
      <c r="Q108" s="86" t="str">
        <f t="shared" si="22"/>
        <v/>
      </c>
      <c r="R108" s="86" t="str">
        <f t="shared" si="23"/>
        <v/>
      </c>
    </row>
    <row r="109" spans="1:18" ht="26.4" x14ac:dyDescent="0.25">
      <c r="A109" s="296" t="s">
        <v>22</v>
      </c>
      <c r="B109" s="298" t="s">
        <v>298</v>
      </c>
      <c r="C109" s="296" t="s">
        <v>10</v>
      </c>
      <c r="D109" s="296" t="s">
        <v>299</v>
      </c>
      <c r="E109" s="363" t="s">
        <v>27</v>
      </c>
      <c r="F109" s="363"/>
      <c r="G109" s="297" t="s">
        <v>28</v>
      </c>
      <c r="H109" s="300">
        <v>0.75</v>
      </c>
      <c r="I109" s="299">
        <f>SUMIFS('ANALÍTICA AUXILIARES'!J:J,'ANALÍTICA AUXILIARES'!A:A,"Composição",'ANALÍTICA AUXILIARES'!B:B,$B109)</f>
        <v>18.739999999999998</v>
      </c>
      <c r="J109" s="299">
        <f>TRUNC(H109*I109,2)</f>
        <v>14.05</v>
      </c>
      <c r="L109" s="113">
        <f t="shared" si="17"/>
        <v>10</v>
      </c>
      <c r="M109" s="85">
        <f t="shared" si="18"/>
        <v>14.05</v>
      </c>
      <c r="N109" s="86">
        <f t="shared" si="19"/>
        <v>14.05</v>
      </c>
      <c r="O109" s="86" t="str">
        <f t="shared" si="21"/>
        <v/>
      </c>
      <c r="P109" s="87" t="str">
        <f t="shared" si="20"/>
        <v/>
      </c>
      <c r="Q109" s="86" t="str">
        <f t="shared" si="22"/>
        <v/>
      </c>
      <c r="R109" s="86" t="str">
        <f t="shared" si="23"/>
        <v/>
      </c>
    </row>
    <row r="110" spans="1:18" ht="39.6" x14ac:dyDescent="0.25">
      <c r="A110" s="301" t="s">
        <v>31</v>
      </c>
      <c r="B110" s="303" t="s">
        <v>404</v>
      </c>
      <c r="C110" s="301" t="str">
        <f>VLOOKUP(B110,INSUMOS!$A:$I,2,FALSE)</f>
        <v>CPOS</v>
      </c>
      <c r="D110" s="301" t="str">
        <f>VLOOKUP(B110,INSUMOS!$A:$I,3,FALSE)</f>
        <v>Eletrocalha lisa galvanizada a fogo, 100x100mm</v>
      </c>
      <c r="E110" s="361" t="str">
        <f>VLOOKUP(B110,INSUMOS!$A:$I,4,FALSE)</f>
        <v>Material</v>
      </c>
      <c r="F110" s="361"/>
      <c r="G110" s="302" t="str">
        <f>VLOOKUP(B110,INSUMOS!$A:$I,5,FALSE)</f>
        <v>M</v>
      </c>
      <c r="H110" s="305">
        <v>1.3</v>
      </c>
      <c r="I110" s="304">
        <f>VLOOKUP(B110,INSUMOS!$A:$I,8,FALSE)</f>
        <v>76.61</v>
      </c>
      <c r="J110" s="304">
        <f>TRUNC(H110*I110,2)</f>
        <v>99.59</v>
      </c>
      <c r="L110" s="113">
        <f t="shared" si="17"/>
        <v>10</v>
      </c>
      <c r="M110" s="85">
        <f t="shared" si="18"/>
        <v>99.59</v>
      </c>
      <c r="N110" s="86" t="str">
        <f t="shared" si="19"/>
        <v/>
      </c>
      <c r="O110" s="86">
        <f t="shared" si="21"/>
        <v>99.59</v>
      </c>
      <c r="P110" s="87" t="str">
        <f t="shared" si="20"/>
        <v/>
      </c>
      <c r="Q110" s="86" t="str">
        <f t="shared" si="22"/>
        <v/>
      </c>
      <c r="R110" s="86" t="str">
        <f t="shared" si="23"/>
        <v/>
      </c>
    </row>
    <row r="111" spans="1:18" ht="26.4" customHeight="1" x14ac:dyDescent="0.25">
      <c r="A111" s="309"/>
      <c r="B111" s="309"/>
      <c r="C111" s="309"/>
      <c r="D111" s="309"/>
      <c r="E111" s="309"/>
      <c r="F111" s="310"/>
      <c r="G111" s="309"/>
      <c r="H111" s="310"/>
      <c r="I111" s="309"/>
      <c r="J111" s="310"/>
      <c r="L111" s="113">
        <f t="shared" si="17"/>
        <v>10</v>
      </c>
      <c r="M111" s="85" t="str">
        <f t="shared" si="18"/>
        <v/>
      </c>
      <c r="N111" s="86" t="str">
        <f t="shared" si="19"/>
        <v/>
      </c>
      <c r="O111" s="86" t="str">
        <f t="shared" si="21"/>
        <v/>
      </c>
      <c r="P111" s="87" t="str">
        <f t="shared" si="20"/>
        <v/>
      </c>
      <c r="Q111" s="86" t="str">
        <f t="shared" si="22"/>
        <v/>
      </c>
      <c r="R111" s="86" t="str">
        <f t="shared" si="23"/>
        <v/>
      </c>
    </row>
    <row r="112" spans="1:18" ht="39.6" customHeight="1" x14ac:dyDescent="0.25">
      <c r="A112" s="309"/>
      <c r="B112" s="309"/>
      <c r="C112" s="309"/>
      <c r="D112" s="309"/>
      <c r="E112" s="309"/>
      <c r="F112" s="310"/>
      <c r="G112" s="309"/>
      <c r="H112" s="350" t="s">
        <v>39</v>
      </c>
      <c r="I112" s="350"/>
      <c r="J112" s="310">
        <f>TRUNC(SUMIF(L:L,$L112,M:M)*(1+$J$9),2)</f>
        <v>160.97</v>
      </c>
      <c r="L112" s="113">
        <f t="shared" si="17"/>
        <v>10</v>
      </c>
      <c r="M112" s="85" t="str">
        <f t="shared" si="18"/>
        <v/>
      </c>
      <c r="N112" s="86" t="str">
        <f t="shared" si="19"/>
        <v/>
      </c>
      <c r="O112" s="86" t="str">
        <f t="shared" si="21"/>
        <v/>
      </c>
      <c r="P112" s="87" t="str">
        <f t="shared" si="20"/>
        <v/>
      </c>
      <c r="Q112" s="86" t="str">
        <f t="shared" si="22"/>
        <v/>
      </c>
      <c r="R112" s="86" t="str">
        <f t="shared" si="23"/>
        <v/>
      </c>
    </row>
    <row r="113" spans="1:18" ht="39.6" customHeight="1" thickBot="1" x14ac:dyDescent="0.3">
      <c r="A113" s="306"/>
      <c r="B113" s="306"/>
      <c r="C113" s="306"/>
      <c r="D113" s="306"/>
      <c r="E113" s="306"/>
      <c r="F113" s="306"/>
      <c r="G113" s="306" t="s">
        <v>40</v>
      </c>
      <c r="H113" s="308">
        <v>17</v>
      </c>
      <c r="I113" s="306" t="s">
        <v>41</v>
      </c>
      <c r="J113" s="307">
        <f>TRUNC(J112*H113,2)</f>
        <v>2736.49</v>
      </c>
      <c r="L113" s="113">
        <f t="shared" si="17"/>
        <v>10</v>
      </c>
      <c r="M113" s="85" t="str">
        <f t="shared" si="18"/>
        <v/>
      </c>
      <c r="N113" s="86" t="str">
        <f t="shared" si="19"/>
        <v/>
      </c>
      <c r="O113" s="86" t="str">
        <f t="shared" si="21"/>
        <v/>
      </c>
      <c r="P113" s="87" t="str">
        <f t="shared" si="20"/>
        <v/>
      </c>
      <c r="Q113" s="86" t="str">
        <f t="shared" si="22"/>
        <v/>
      </c>
      <c r="R113" s="86" t="str">
        <f t="shared" si="23"/>
        <v/>
      </c>
    </row>
    <row r="114" spans="1:18" ht="14.4" thickTop="1" x14ac:dyDescent="0.25">
      <c r="A114" s="295"/>
      <c r="B114" s="295"/>
      <c r="C114" s="295"/>
      <c r="D114" s="295"/>
      <c r="E114" s="295"/>
      <c r="F114" s="295"/>
      <c r="G114" s="295"/>
      <c r="H114" s="295"/>
      <c r="I114" s="295"/>
      <c r="J114" s="295"/>
      <c r="L114" s="113">
        <f t="shared" si="17"/>
        <v>11</v>
      </c>
      <c r="M114" s="85" t="str">
        <f t="shared" si="18"/>
        <v/>
      </c>
      <c r="N114" s="86" t="str">
        <f t="shared" si="19"/>
        <v/>
      </c>
      <c r="O114" s="86" t="str">
        <f t="shared" si="21"/>
        <v/>
      </c>
      <c r="P114" s="87" t="str">
        <f t="shared" si="20"/>
        <v/>
      </c>
      <c r="Q114" s="86" t="str">
        <f t="shared" si="22"/>
        <v/>
      </c>
      <c r="R114" s="86" t="str">
        <f t="shared" si="23"/>
        <v/>
      </c>
    </row>
    <row r="115" spans="1:18" x14ac:dyDescent="0.25">
      <c r="A115" s="284" t="s">
        <v>675</v>
      </c>
      <c r="B115" s="286" t="s">
        <v>1</v>
      </c>
      <c r="C115" s="284" t="s">
        <v>2</v>
      </c>
      <c r="D115" s="284" t="s">
        <v>3</v>
      </c>
      <c r="E115" s="347" t="s">
        <v>19</v>
      </c>
      <c r="F115" s="347"/>
      <c r="G115" s="285" t="s">
        <v>4</v>
      </c>
      <c r="H115" s="286" t="s">
        <v>5</v>
      </c>
      <c r="I115" s="286" t="s">
        <v>6</v>
      </c>
      <c r="J115" s="286" t="s">
        <v>7</v>
      </c>
      <c r="L115" s="113">
        <f t="shared" si="17"/>
        <v>11</v>
      </c>
      <c r="M115" s="85" t="str">
        <f t="shared" si="18"/>
        <v/>
      </c>
      <c r="N115" s="86" t="str">
        <f t="shared" si="19"/>
        <v/>
      </c>
      <c r="O115" s="86" t="str">
        <f t="shared" si="21"/>
        <v/>
      </c>
      <c r="P115" s="87" t="str">
        <f t="shared" si="20"/>
        <v/>
      </c>
      <c r="Q115" s="86" t="str">
        <f t="shared" si="22"/>
        <v/>
      </c>
      <c r="R115" s="86" t="str">
        <f t="shared" si="23"/>
        <v/>
      </c>
    </row>
    <row r="116" spans="1:18" ht="39.6" x14ac:dyDescent="0.25">
      <c r="A116" s="290" t="s">
        <v>20</v>
      </c>
      <c r="B116" s="292" t="s">
        <v>676</v>
      </c>
      <c r="C116" s="290" t="s">
        <v>13</v>
      </c>
      <c r="D116" s="290" t="s">
        <v>677</v>
      </c>
      <c r="E116" s="362" t="s">
        <v>315</v>
      </c>
      <c r="F116" s="362"/>
      <c r="G116" s="291" t="s">
        <v>375</v>
      </c>
      <c r="H116" s="294">
        <v>1</v>
      </c>
      <c r="I116" s="293">
        <f>SUMIF(L:L,$L116,M:M)</f>
        <v>91.47</v>
      </c>
      <c r="J116" s="293">
        <f>TRUNC(H116*I116,2)</f>
        <v>91.47</v>
      </c>
      <c r="L116" s="113">
        <f t="shared" si="17"/>
        <v>11</v>
      </c>
      <c r="M116" s="85" t="str">
        <f t="shared" si="18"/>
        <v/>
      </c>
      <c r="N116" s="86" t="str">
        <f t="shared" si="19"/>
        <v/>
      </c>
      <c r="O116" s="86" t="str">
        <f t="shared" si="21"/>
        <v/>
      </c>
      <c r="P116" s="87" t="str">
        <f t="shared" si="20"/>
        <v xml:space="preserve"> 2.3.3 </v>
      </c>
      <c r="Q116" s="86">
        <f t="shared" si="22"/>
        <v>14.81</v>
      </c>
      <c r="R116" s="86">
        <f t="shared" si="23"/>
        <v>76.66</v>
      </c>
    </row>
    <row r="117" spans="1:18" ht="14.25" customHeight="1" x14ac:dyDescent="0.25">
      <c r="A117" s="296" t="s">
        <v>22</v>
      </c>
      <c r="B117" s="298" t="s">
        <v>313</v>
      </c>
      <c r="C117" s="296" t="s">
        <v>10</v>
      </c>
      <c r="D117" s="296" t="s">
        <v>314</v>
      </c>
      <c r="E117" s="363" t="s">
        <v>27</v>
      </c>
      <c r="F117" s="363"/>
      <c r="G117" s="297" t="s">
        <v>28</v>
      </c>
      <c r="H117" s="300">
        <v>0.34599999999999997</v>
      </c>
      <c r="I117" s="299">
        <f>SUMIFS('ANALÍTICA AUXILIARES'!J:J,'ANALÍTICA AUXILIARES'!A:A,"Composição",'ANALÍTICA AUXILIARES'!B:B,$B117)</f>
        <v>24.1</v>
      </c>
      <c r="J117" s="299">
        <f>TRUNC(H117*I117,2)</f>
        <v>8.33</v>
      </c>
      <c r="L117" s="113">
        <f t="shared" si="17"/>
        <v>11</v>
      </c>
      <c r="M117" s="85">
        <f t="shared" si="18"/>
        <v>8.33</v>
      </c>
      <c r="N117" s="86">
        <f t="shared" si="19"/>
        <v>8.33</v>
      </c>
      <c r="O117" s="86" t="str">
        <f t="shared" si="21"/>
        <v/>
      </c>
      <c r="P117" s="87" t="str">
        <f t="shared" si="20"/>
        <v/>
      </c>
      <c r="Q117" s="86" t="str">
        <f t="shared" si="22"/>
        <v/>
      </c>
      <c r="R117" s="86" t="str">
        <f t="shared" si="23"/>
        <v/>
      </c>
    </row>
    <row r="118" spans="1:18" ht="26.4" x14ac:dyDescent="0.25">
      <c r="A118" s="296" t="s">
        <v>22</v>
      </c>
      <c r="B118" s="298" t="s">
        <v>298</v>
      </c>
      <c r="C118" s="296" t="s">
        <v>10</v>
      </c>
      <c r="D118" s="296" t="s">
        <v>299</v>
      </c>
      <c r="E118" s="363" t="s">
        <v>27</v>
      </c>
      <c r="F118" s="363"/>
      <c r="G118" s="297" t="s">
        <v>28</v>
      </c>
      <c r="H118" s="300">
        <v>0.34599999999999997</v>
      </c>
      <c r="I118" s="299">
        <f>SUMIFS('ANALÍTICA AUXILIARES'!J:J,'ANALÍTICA AUXILIARES'!A:A,"Composição",'ANALÍTICA AUXILIARES'!B:B,$B118)</f>
        <v>18.739999999999998</v>
      </c>
      <c r="J118" s="299">
        <f>TRUNC(H118*I118,2)</f>
        <v>6.48</v>
      </c>
      <c r="L118" s="113">
        <f t="shared" si="17"/>
        <v>11</v>
      </c>
      <c r="M118" s="85">
        <f t="shared" si="18"/>
        <v>6.48</v>
      </c>
      <c r="N118" s="86">
        <f t="shared" si="19"/>
        <v>6.48</v>
      </c>
      <c r="O118" s="86" t="str">
        <f t="shared" si="21"/>
        <v/>
      </c>
      <c r="P118" s="87" t="str">
        <f t="shared" si="20"/>
        <v/>
      </c>
      <c r="Q118" s="86" t="str">
        <f t="shared" si="22"/>
        <v/>
      </c>
      <c r="R118" s="86" t="str">
        <f t="shared" si="23"/>
        <v/>
      </c>
    </row>
    <row r="119" spans="1:18" ht="26.4" x14ac:dyDescent="0.25">
      <c r="A119" s="301" t="s">
        <v>31</v>
      </c>
      <c r="B119" s="303" t="s">
        <v>428</v>
      </c>
      <c r="C119" s="301" t="str">
        <f>VLOOKUP(B119,INSUMOS!$A:$I,2,FALSE)</f>
        <v>SINAPI</v>
      </c>
      <c r="D119" s="301" t="str">
        <f>VLOOKUP(B119,INSUMOS!$A:$I,3,FALSE)</f>
        <v>CAIXA DE PASSAGEM METALICA DE SOBREPOR COM TAMPA PARAFUSADA, DIMENSOES 30 X 30 X 10 CM</v>
      </c>
      <c r="E119" s="361" t="str">
        <f>VLOOKUP(B119,INSUMOS!$A:$I,4,FALSE)</f>
        <v>Material</v>
      </c>
      <c r="F119" s="361"/>
      <c r="G119" s="302" t="str">
        <f>VLOOKUP(B119,INSUMOS!$A:$I,5,FALSE)</f>
        <v>UN</v>
      </c>
      <c r="H119" s="305">
        <v>1</v>
      </c>
      <c r="I119" s="304">
        <f>VLOOKUP(B119,INSUMOS!$A:$I,8,FALSE)</f>
        <v>76.66</v>
      </c>
      <c r="J119" s="304">
        <f>TRUNC(H119*I119,2)</f>
        <v>76.66</v>
      </c>
      <c r="L119" s="113">
        <f t="shared" si="17"/>
        <v>11</v>
      </c>
      <c r="M119" s="85">
        <f t="shared" si="18"/>
        <v>76.66</v>
      </c>
      <c r="N119" s="86" t="str">
        <f t="shared" si="19"/>
        <v/>
      </c>
      <c r="O119" s="86">
        <f t="shared" si="21"/>
        <v>76.66</v>
      </c>
      <c r="P119" s="87" t="str">
        <f t="shared" si="20"/>
        <v/>
      </c>
      <c r="Q119" s="86" t="str">
        <f t="shared" si="22"/>
        <v/>
      </c>
      <c r="R119" s="86" t="str">
        <f t="shared" si="23"/>
        <v/>
      </c>
    </row>
    <row r="120" spans="1:18" ht="13.8" customHeight="1" x14ac:dyDescent="0.25">
      <c r="A120" s="309"/>
      <c r="B120" s="309"/>
      <c r="C120" s="309"/>
      <c r="D120" s="309"/>
      <c r="E120" s="309"/>
      <c r="F120" s="310"/>
      <c r="G120" s="309"/>
      <c r="H120" s="310"/>
      <c r="I120" s="309"/>
      <c r="J120" s="310"/>
      <c r="L120" s="113">
        <f t="shared" si="17"/>
        <v>11</v>
      </c>
      <c r="M120" s="85" t="str">
        <f t="shared" si="18"/>
        <v/>
      </c>
      <c r="N120" s="86" t="str">
        <f t="shared" si="19"/>
        <v/>
      </c>
      <c r="O120" s="86" t="str">
        <f t="shared" si="21"/>
        <v/>
      </c>
      <c r="P120" s="87" t="str">
        <f t="shared" si="20"/>
        <v/>
      </c>
      <c r="Q120" s="86" t="str">
        <f t="shared" si="22"/>
        <v/>
      </c>
      <c r="R120" s="86" t="str">
        <f t="shared" si="23"/>
        <v/>
      </c>
    </row>
    <row r="121" spans="1:18" x14ac:dyDescent="0.25">
      <c r="A121" s="309"/>
      <c r="B121" s="309"/>
      <c r="C121" s="309"/>
      <c r="D121" s="309"/>
      <c r="E121" s="309"/>
      <c r="F121" s="310"/>
      <c r="G121" s="309"/>
      <c r="H121" s="350" t="s">
        <v>39</v>
      </c>
      <c r="I121" s="350"/>
      <c r="J121" s="310">
        <f>TRUNC(SUMIF(L:L,$L121,M:M)*(1+$J$9),2)</f>
        <v>111.79</v>
      </c>
      <c r="L121" s="113">
        <f t="shared" si="17"/>
        <v>11</v>
      </c>
      <c r="M121" s="85" t="str">
        <f t="shared" si="18"/>
        <v/>
      </c>
      <c r="N121" s="86" t="str">
        <f t="shared" si="19"/>
        <v/>
      </c>
      <c r="O121" s="86" t="str">
        <f t="shared" si="21"/>
        <v/>
      </c>
      <c r="P121" s="87" t="str">
        <f t="shared" si="20"/>
        <v/>
      </c>
      <c r="Q121" s="86" t="str">
        <f t="shared" si="22"/>
        <v/>
      </c>
      <c r="R121" s="86" t="str">
        <f t="shared" si="23"/>
        <v/>
      </c>
    </row>
    <row r="122" spans="1:18" ht="14.4" thickBot="1" x14ac:dyDescent="0.3">
      <c r="A122" s="306"/>
      <c r="B122" s="306"/>
      <c r="C122" s="306"/>
      <c r="D122" s="306"/>
      <c r="E122" s="306"/>
      <c r="F122" s="306"/>
      <c r="G122" s="306" t="s">
        <v>40</v>
      </c>
      <c r="H122" s="308">
        <v>17</v>
      </c>
      <c r="I122" s="306" t="s">
        <v>41</v>
      </c>
      <c r="J122" s="307">
        <f>TRUNC(J121*H122,2)</f>
        <v>1900.43</v>
      </c>
      <c r="L122" s="113">
        <f t="shared" si="17"/>
        <v>11</v>
      </c>
      <c r="M122" s="85" t="str">
        <f t="shared" si="18"/>
        <v/>
      </c>
      <c r="N122" s="86" t="str">
        <f t="shared" si="19"/>
        <v/>
      </c>
      <c r="O122" s="86" t="str">
        <f t="shared" si="21"/>
        <v/>
      </c>
      <c r="P122" s="87" t="str">
        <f t="shared" si="20"/>
        <v/>
      </c>
      <c r="Q122" s="86" t="str">
        <f t="shared" si="22"/>
        <v/>
      </c>
      <c r="R122" s="86" t="str">
        <f t="shared" si="23"/>
        <v/>
      </c>
    </row>
    <row r="123" spans="1:18" ht="14.4" thickTop="1" x14ac:dyDescent="0.25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L123" s="113">
        <f t="shared" si="17"/>
        <v>12</v>
      </c>
      <c r="M123" s="85" t="str">
        <f t="shared" si="18"/>
        <v/>
      </c>
      <c r="N123" s="86" t="str">
        <f t="shared" si="19"/>
        <v/>
      </c>
      <c r="O123" s="86" t="str">
        <f t="shared" si="21"/>
        <v/>
      </c>
      <c r="P123" s="87" t="str">
        <f t="shared" si="20"/>
        <v/>
      </c>
      <c r="Q123" s="86" t="str">
        <f t="shared" si="22"/>
        <v/>
      </c>
      <c r="R123" s="86" t="str">
        <f t="shared" si="23"/>
        <v/>
      </c>
    </row>
    <row r="124" spans="1:18" ht="14.25" customHeight="1" x14ac:dyDescent="0.25">
      <c r="A124" s="284" t="s">
        <v>678</v>
      </c>
      <c r="B124" s="286" t="s">
        <v>1</v>
      </c>
      <c r="C124" s="284" t="s">
        <v>2</v>
      </c>
      <c r="D124" s="284" t="s">
        <v>3</v>
      </c>
      <c r="E124" s="347" t="s">
        <v>19</v>
      </c>
      <c r="F124" s="347"/>
      <c r="G124" s="285" t="s">
        <v>4</v>
      </c>
      <c r="H124" s="286" t="s">
        <v>5</v>
      </c>
      <c r="I124" s="286" t="s">
        <v>6</v>
      </c>
      <c r="J124" s="286" t="s">
        <v>7</v>
      </c>
      <c r="L124" s="113">
        <f t="shared" si="17"/>
        <v>12</v>
      </c>
      <c r="M124" s="85" t="str">
        <f t="shared" si="18"/>
        <v/>
      </c>
      <c r="N124" s="86" t="str">
        <f t="shared" si="19"/>
        <v/>
      </c>
      <c r="O124" s="86" t="str">
        <f t="shared" si="21"/>
        <v/>
      </c>
      <c r="P124" s="87" t="str">
        <f t="shared" si="20"/>
        <v/>
      </c>
      <c r="Q124" s="86" t="str">
        <f t="shared" si="22"/>
        <v/>
      </c>
      <c r="R124" s="86" t="str">
        <f t="shared" si="23"/>
        <v/>
      </c>
    </row>
    <row r="125" spans="1:18" ht="26.4" customHeight="1" x14ac:dyDescent="0.25">
      <c r="A125" s="290" t="s">
        <v>20</v>
      </c>
      <c r="B125" s="292" t="s">
        <v>679</v>
      </c>
      <c r="C125" s="290" t="s">
        <v>13</v>
      </c>
      <c r="D125" s="290" t="s">
        <v>680</v>
      </c>
      <c r="E125" s="362" t="s">
        <v>316</v>
      </c>
      <c r="F125" s="362"/>
      <c r="G125" s="291" t="s">
        <v>14</v>
      </c>
      <c r="H125" s="294">
        <v>1</v>
      </c>
      <c r="I125" s="293">
        <f>SUMIF(L:L,$L125,M:M)</f>
        <v>51.92</v>
      </c>
      <c r="J125" s="293">
        <f t="shared" ref="J125:J134" si="24">TRUNC(H125*I125,2)</f>
        <v>51.92</v>
      </c>
      <c r="L125" s="113">
        <f t="shared" si="17"/>
        <v>12</v>
      </c>
      <c r="M125" s="85" t="str">
        <f t="shared" si="18"/>
        <v/>
      </c>
      <c r="N125" s="86" t="str">
        <f t="shared" si="19"/>
        <v/>
      </c>
      <c r="O125" s="86" t="str">
        <f t="shared" si="21"/>
        <v/>
      </c>
      <c r="P125" s="87" t="str">
        <f t="shared" si="20"/>
        <v xml:space="preserve"> 2.3.4 </v>
      </c>
      <c r="Q125" s="86">
        <f t="shared" si="22"/>
        <v>18.670000000000002</v>
      </c>
      <c r="R125" s="86">
        <f t="shared" si="23"/>
        <v>33.25</v>
      </c>
    </row>
    <row r="126" spans="1:18" ht="26.4" x14ac:dyDescent="0.25">
      <c r="A126" s="296" t="s">
        <v>22</v>
      </c>
      <c r="B126" s="298" t="s">
        <v>51</v>
      </c>
      <c r="C126" s="296" t="s">
        <v>10</v>
      </c>
      <c r="D126" s="296" t="s">
        <v>52</v>
      </c>
      <c r="E126" s="363" t="s">
        <v>27</v>
      </c>
      <c r="F126" s="363"/>
      <c r="G126" s="297" t="s">
        <v>28</v>
      </c>
      <c r="H126" s="300">
        <v>0.45</v>
      </c>
      <c r="I126" s="299">
        <f>SUMIFS('ANALÍTICA AUXILIARES'!J:J,'ANALÍTICA AUXILIARES'!A:A,"Composição",'ANALÍTICA AUXILIARES'!B:B,$B126)</f>
        <v>23.9</v>
      </c>
      <c r="J126" s="299">
        <f t="shared" si="24"/>
        <v>10.75</v>
      </c>
      <c r="L126" s="113">
        <f t="shared" si="17"/>
        <v>12</v>
      </c>
      <c r="M126" s="85">
        <f t="shared" si="18"/>
        <v>10.75</v>
      </c>
      <c r="N126" s="86">
        <f t="shared" si="19"/>
        <v>10.75</v>
      </c>
      <c r="O126" s="86" t="str">
        <f t="shared" si="21"/>
        <v/>
      </c>
      <c r="P126" s="87" t="str">
        <f t="shared" si="20"/>
        <v/>
      </c>
      <c r="Q126" s="86" t="str">
        <f t="shared" si="22"/>
        <v/>
      </c>
      <c r="R126" s="86" t="str">
        <f t="shared" si="23"/>
        <v/>
      </c>
    </row>
    <row r="127" spans="1:18" ht="26.4" x14ac:dyDescent="0.25">
      <c r="A127" s="296" t="s">
        <v>22</v>
      </c>
      <c r="B127" s="298" t="s">
        <v>29</v>
      </c>
      <c r="C127" s="296" t="s">
        <v>10</v>
      </c>
      <c r="D127" s="296" t="s">
        <v>30</v>
      </c>
      <c r="E127" s="363" t="s">
        <v>27</v>
      </c>
      <c r="F127" s="363"/>
      <c r="G127" s="297" t="s">
        <v>28</v>
      </c>
      <c r="H127" s="300">
        <v>0.45</v>
      </c>
      <c r="I127" s="299">
        <f>SUMIFS('ANALÍTICA AUXILIARES'!J:J,'ANALÍTICA AUXILIARES'!A:A,"Composição",'ANALÍTICA AUXILIARES'!B:B,$B127)</f>
        <v>17.61</v>
      </c>
      <c r="J127" s="299">
        <f t="shared" si="24"/>
        <v>7.92</v>
      </c>
      <c r="L127" s="113">
        <f t="shared" si="17"/>
        <v>12</v>
      </c>
      <c r="M127" s="85">
        <f t="shared" si="18"/>
        <v>7.92</v>
      </c>
      <c r="N127" s="86">
        <f t="shared" si="19"/>
        <v>7.92</v>
      </c>
      <c r="O127" s="86" t="str">
        <f t="shared" si="21"/>
        <v/>
      </c>
      <c r="P127" s="87" t="str">
        <f t="shared" si="20"/>
        <v/>
      </c>
      <c r="Q127" s="86" t="str">
        <f t="shared" si="22"/>
        <v/>
      </c>
      <c r="R127" s="86" t="str">
        <f t="shared" si="23"/>
        <v/>
      </c>
    </row>
    <row r="128" spans="1:18" ht="26.4" x14ac:dyDescent="0.25">
      <c r="A128" s="301" t="s">
        <v>31</v>
      </c>
      <c r="B128" s="303" t="s">
        <v>48</v>
      </c>
      <c r="C128" s="301" t="str">
        <f>VLOOKUP(B128,INSUMOS!$A:$I,2,FALSE)</f>
        <v>SINAPI</v>
      </c>
      <c r="D128" s="301" t="str">
        <f>VLOOKUP(B128,INSUMOS!$A:$I,3,FALSE)</f>
        <v>PARAFUSO DE ACO TIPO CHUMBADOR PARABOLT, DIAMETRO 3/8", COMPRIMENTO 75 MM</v>
      </c>
      <c r="E128" s="361" t="str">
        <f>VLOOKUP(B128,INSUMOS!$A:$I,4,FALSE)</f>
        <v>Material</v>
      </c>
      <c r="F128" s="361"/>
      <c r="G128" s="302" t="str">
        <f>VLOOKUP(B128,INSUMOS!$A:$I,5,FALSE)</f>
        <v>UN</v>
      </c>
      <c r="H128" s="305">
        <v>2</v>
      </c>
      <c r="I128" s="304">
        <f>VLOOKUP(B128,INSUMOS!$A:$I,8,FALSE)</f>
        <v>1.43</v>
      </c>
      <c r="J128" s="304">
        <f t="shared" si="24"/>
        <v>2.86</v>
      </c>
      <c r="L128" s="113">
        <f t="shared" si="17"/>
        <v>12</v>
      </c>
      <c r="M128" s="85">
        <f t="shared" si="18"/>
        <v>2.86</v>
      </c>
      <c r="N128" s="86" t="str">
        <f t="shared" si="19"/>
        <v/>
      </c>
      <c r="O128" s="86">
        <f t="shared" si="21"/>
        <v>2.86</v>
      </c>
      <c r="P128" s="87" t="str">
        <f t="shared" si="20"/>
        <v/>
      </c>
      <c r="Q128" s="86" t="str">
        <f t="shared" si="22"/>
        <v/>
      </c>
      <c r="R128" s="86" t="str">
        <f t="shared" si="23"/>
        <v/>
      </c>
    </row>
    <row r="129" spans="1:18" ht="26.4" customHeight="1" x14ac:dyDescent="0.25">
      <c r="A129" s="301" t="s">
        <v>31</v>
      </c>
      <c r="B129" s="303" t="s">
        <v>280</v>
      </c>
      <c r="C129" s="301" t="str">
        <f>VLOOKUP(B129,INSUMOS!$A:$I,2,FALSE)</f>
        <v>ORSE</v>
      </c>
      <c r="D129" s="301" t="str">
        <f>VLOOKUP(B129,INSUMOS!$A:$I,3,FALSE)</f>
        <v>Barra roscada zincada ø 3/8"</v>
      </c>
      <c r="E129" s="361" t="str">
        <f>VLOOKUP(B129,INSUMOS!$A:$I,4,FALSE)</f>
        <v>Material</v>
      </c>
      <c r="F129" s="361"/>
      <c r="G129" s="302" t="str">
        <f>VLOOKUP(B129,INSUMOS!$A:$I,5,FALSE)</f>
        <v>m</v>
      </c>
      <c r="H129" s="305">
        <v>1.8</v>
      </c>
      <c r="I129" s="304">
        <f>VLOOKUP(B129,INSUMOS!$A:$I,8,FALSE)</f>
        <v>7.7</v>
      </c>
      <c r="J129" s="304">
        <f t="shared" si="24"/>
        <v>13.86</v>
      </c>
      <c r="L129" s="113">
        <f t="shared" si="17"/>
        <v>12</v>
      </c>
      <c r="M129" s="85">
        <f t="shared" si="18"/>
        <v>13.86</v>
      </c>
      <c r="N129" s="86" t="str">
        <f t="shared" si="19"/>
        <v/>
      </c>
      <c r="O129" s="86">
        <f t="shared" si="21"/>
        <v>13.86</v>
      </c>
      <c r="P129" s="87" t="str">
        <f t="shared" si="20"/>
        <v/>
      </c>
      <c r="Q129" s="86" t="str">
        <f t="shared" si="22"/>
        <v/>
      </c>
      <c r="R129" s="86" t="str">
        <f t="shared" si="23"/>
        <v/>
      </c>
    </row>
    <row r="130" spans="1:18" x14ac:dyDescent="0.25">
      <c r="A130" s="301" t="s">
        <v>31</v>
      </c>
      <c r="B130" s="303" t="s">
        <v>293</v>
      </c>
      <c r="C130" s="301" t="str">
        <f>VLOOKUP(B130,INSUMOS!$A:$I,2,FALSE)</f>
        <v>ORSE</v>
      </c>
      <c r="D130" s="301" t="str">
        <f>VLOOKUP(B130,INSUMOS!$A:$I,3,FALSE)</f>
        <v>Arruela lisa de 3/8"</v>
      </c>
      <c r="E130" s="361" t="str">
        <f>VLOOKUP(B130,INSUMOS!$A:$I,4,FALSE)</f>
        <v>Material</v>
      </c>
      <c r="F130" s="361"/>
      <c r="G130" s="302" t="str">
        <f>VLOOKUP(B130,INSUMOS!$A:$I,5,FALSE)</f>
        <v>un</v>
      </c>
      <c r="H130" s="305">
        <v>6</v>
      </c>
      <c r="I130" s="304">
        <f>VLOOKUP(B130,INSUMOS!$A:$I,8,FALSE)</f>
        <v>0.12</v>
      </c>
      <c r="J130" s="304">
        <f t="shared" si="24"/>
        <v>0.72</v>
      </c>
      <c r="L130" s="113">
        <f t="shared" si="17"/>
        <v>12</v>
      </c>
      <c r="M130" s="85">
        <f t="shared" si="18"/>
        <v>0.72</v>
      </c>
      <c r="N130" s="86" t="str">
        <f t="shared" si="19"/>
        <v/>
      </c>
      <c r="O130" s="86">
        <f t="shared" si="21"/>
        <v>0.72</v>
      </c>
      <c r="P130" s="87" t="str">
        <f t="shared" si="20"/>
        <v/>
      </c>
      <c r="Q130" s="86" t="str">
        <f t="shared" si="22"/>
        <v/>
      </c>
      <c r="R130" s="86" t="str">
        <f t="shared" si="23"/>
        <v/>
      </c>
    </row>
    <row r="131" spans="1:18" ht="14.25" customHeight="1" x14ac:dyDescent="0.25">
      <c r="A131" s="301" t="s">
        <v>31</v>
      </c>
      <c r="B131" s="303" t="s">
        <v>513</v>
      </c>
      <c r="C131" s="301" t="str">
        <f>VLOOKUP(B131,INSUMOS!$A:$I,2,FALSE)</f>
        <v>SINAPI</v>
      </c>
      <c r="D131" s="301" t="str">
        <f>VLOOKUP(B131,INSUMOS!$A:$I,3,FALSE)</f>
        <v>PERFILADO PERFURADO SIMPLES 38 X 38 MM, CHAPA 22</v>
      </c>
      <c r="E131" s="361" t="str">
        <f>VLOOKUP(B131,INSUMOS!$A:$I,4,FALSE)</f>
        <v>Material</v>
      </c>
      <c r="F131" s="361"/>
      <c r="G131" s="302" t="str">
        <f>VLOOKUP(B131,INSUMOS!$A:$I,5,FALSE)</f>
        <v>M</v>
      </c>
      <c r="H131" s="305">
        <v>0.8</v>
      </c>
      <c r="I131" s="304">
        <f>VLOOKUP(B131,INSUMOS!$A:$I,8,FALSE)</f>
        <v>9.84</v>
      </c>
      <c r="J131" s="304">
        <f t="shared" si="24"/>
        <v>7.87</v>
      </c>
      <c r="L131" s="113">
        <f t="shared" si="17"/>
        <v>12</v>
      </c>
      <c r="M131" s="85">
        <f t="shared" si="18"/>
        <v>7.87</v>
      </c>
      <c r="N131" s="86" t="str">
        <f t="shared" si="19"/>
        <v/>
      </c>
      <c r="O131" s="86">
        <f t="shared" si="21"/>
        <v>7.87</v>
      </c>
      <c r="P131" s="87" t="str">
        <f t="shared" si="20"/>
        <v/>
      </c>
      <c r="Q131" s="86" t="str">
        <f t="shared" si="22"/>
        <v/>
      </c>
      <c r="R131" s="86" t="str">
        <f t="shared" si="23"/>
        <v/>
      </c>
    </row>
    <row r="132" spans="1:18" x14ac:dyDescent="0.25">
      <c r="A132" s="301" t="s">
        <v>31</v>
      </c>
      <c r="B132" s="303" t="s">
        <v>291</v>
      </c>
      <c r="C132" s="301" t="str">
        <f>VLOOKUP(B132,INSUMOS!$A:$I,2,FALSE)</f>
        <v>SINAPI</v>
      </c>
      <c r="D132" s="301" t="str">
        <f>VLOOKUP(B132,INSUMOS!$A:$I,3,FALSE)</f>
        <v>PORCA ZINCADA, SEXTAVADA, DIAMETRO 3/8"</v>
      </c>
      <c r="E132" s="361" t="str">
        <f>VLOOKUP(B132,INSUMOS!$A:$I,4,FALSE)</f>
        <v>Material</v>
      </c>
      <c r="F132" s="361"/>
      <c r="G132" s="302" t="str">
        <f>VLOOKUP(B132,INSUMOS!$A:$I,5,FALSE)</f>
        <v>UN</v>
      </c>
      <c r="H132" s="305">
        <v>6</v>
      </c>
      <c r="I132" s="304">
        <f>VLOOKUP(B132,INSUMOS!$A:$I,8,FALSE)</f>
        <v>0.13</v>
      </c>
      <c r="J132" s="304">
        <f t="shared" si="24"/>
        <v>0.78</v>
      </c>
      <c r="L132" s="113">
        <f t="shared" si="17"/>
        <v>12</v>
      </c>
      <c r="M132" s="85">
        <f t="shared" si="18"/>
        <v>0.78</v>
      </c>
      <c r="N132" s="86" t="str">
        <f t="shared" si="19"/>
        <v/>
      </c>
      <c r="O132" s="86">
        <f t="shared" si="21"/>
        <v>0.78</v>
      </c>
      <c r="P132" s="87" t="str">
        <f t="shared" si="20"/>
        <v/>
      </c>
      <c r="Q132" s="86" t="str">
        <f t="shared" si="22"/>
        <v/>
      </c>
      <c r="R132" s="86" t="str">
        <f t="shared" si="23"/>
        <v/>
      </c>
    </row>
    <row r="133" spans="1:18" ht="26.4" x14ac:dyDescent="0.25">
      <c r="A133" s="301" t="s">
        <v>31</v>
      </c>
      <c r="B133" s="303" t="s">
        <v>521</v>
      </c>
      <c r="C133" s="301" t="str">
        <f>VLOOKUP(B133,INSUMOS!$A:$I,2,FALSE)</f>
        <v>SINAPI</v>
      </c>
      <c r="D133" s="301" t="str">
        <f>VLOOKUP(B133,INSUMOS!$A:$I,3,FALSE)</f>
        <v>ABRACADEIRA EM ACO PARA AMARRACAO DE ELETRODUTOS, TIPO U SIMPLES, COM 4"</v>
      </c>
      <c r="E133" s="361" t="str">
        <f>VLOOKUP(B133,INSUMOS!$A:$I,4,FALSE)</f>
        <v>Material</v>
      </c>
      <c r="F133" s="361"/>
      <c r="G133" s="302" t="str">
        <f>VLOOKUP(B133,INSUMOS!$A:$I,5,FALSE)</f>
        <v>UN</v>
      </c>
      <c r="H133" s="305">
        <v>1</v>
      </c>
      <c r="I133" s="304">
        <f>VLOOKUP(B133,INSUMOS!$A:$I,8,FALSE)</f>
        <v>4.0999999999999996</v>
      </c>
      <c r="J133" s="304">
        <f t="shared" si="24"/>
        <v>4.0999999999999996</v>
      </c>
      <c r="L133" s="113">
        <f t="shared" si="17"/>
        <v>12</v>
      </c>
      <c r="M133" s="85">
        <f t="shared" si="18"/>
        <v>4.0999999999999996</v>
      </c>
      <c r="N133" s="86" t="str">
        <f t="shared" si="19"/>
        <v/>
      </c>
      <c r="O133" s="86">
        <f t="shared" si="21"/>
        <v>4.0999999999999996</v>
      </c>
      <c r="P133" s="87" t="str">
        <f t="shared" si="20"/>
        <v/>
      </c>
      <c r="Q133" s="86" t="str">
        <f t="shared" si="22"/>
        <v/>
      </c>
      <c r="R133" s="86" t="str">
        <f t="shared" si="23"/>
        <v/>
      </c>
    </row>
    <row r="134" spans="1:18" ht="26.4" x14ac:dyDescent="0.25">
      <c r="A134" s="301" t="s">
        <v>31</v>
      </c>
      <c r="B134" s="303" t="s">
        <v>287</v>
      </c>
      <c r="C134" s="301" t="str">
        <f>VLOOKUP(B134,INSUMOS!$A:$I,2,FALSE)</f>
        <v>SINAPI</v>
      </c>
      <c r="D134" s="301" t="str">
        <f>VLOOKUP(B134,INSUMOS!$A:$I,3,FALSE)</f>
        <v>ABRACADEIRA EM ACO PARA AMARRACAO DE ELETRODUTOS, TIPO U SIMPLES, COM 2"</v>
      </c>
      <c r="E134" s="361" t="str">
        <f>VLOOKUP(B134,INSUMOS!$A:$I,4,FALSE)</f>
        <v>Material</v>
      </c>
      <c r="F134" s="361"/>
      <c r="G134" s="302" t="str">
        <f>VLOOKUP(B134,INSUMOS!$A:$I,5,FALSE)</f>
        <v>UN</v>
      </c>
      <c r="H134" s="305">
        <v>2</v>
      </c>
      <c r="I134" s="304">
        <f>VLOOKUP(B134,INSUMOS!$A:$I,8,FALSE)</f>
        <v>1.53</v>
      </c>
      <c r="J134" s="304">
        <f t="shared" si="24"/>
        <v>3.06</v>
      </c>
      <c r="L134" s="113">
        <f t="shared" si="17"/>
        <v>12</v>
      </c>
      <c r="M134" s="85">
        <f t="shared" si="18"/>
        <v>3.06</v>
      </c>
      <c r="N134" s="86" t="str">
        <f t="shared" si="19"/>
        <v/>
      </c>
      <c r="O134" s="86">
        <f t="shared" si="21"/>
        <v>3.06</v>
      </c>
      <c r="P134" s="87" t="str">
        <f t="shared" si="20"/>
        <v/>
      </c>
      <c r="Q134" s="86" t="str">
        <f t="shared" si="22"/>
        <v/>
      </c>
      <c r="R134" s="86" t="str">
        <f t="shared" si="23"/>
        <v/>
      </c>
    </row>
    <row r="135" spans="1:18" ht="14.25" customHeight="1" x14ac:dyDescent="0.25">
      <c r="A135" s="309"/>
      <c r="B135" s="309"/>
      <c r="C135" s="309"/>
      <c r="D135" s="309"/>
      <c r="E135" s="309"/>
      <c r="F135" s="310"/>
      <c r="G135" s="309"/>
      <c r="H135" s="310"/>
      <c r="I135" s="309"/>
      <c r="J135" s="310"/>
      <c r="L135" s="113">
        <f t="shared" si="17"/>
        <v>12</v>
      </c>
      <c r="M135" s="85" t="str">
        <f t="shared" si="18"/>
        <v/>
      </c>
      <c r="N135" s="86" t="str">
        <f t="shared" si="19"/>
        <v/>
      </c>
      <c r="O135" s="86" t="str">
        <f t="shared" si="21"/>
        <v/>
      </c>
      <c r="P135" s="87" t="str">
        <f t="shared" si="20"/>
        <v/>
      </c>
      <c r="Q135" s="86" t="str">
        <f t="shared" si="22"/>
        <v/>
      </c>
      <c r="R135" s="86" t="str">
        <f t="shared" si="23"/>
        <v/>
      </c>
    </row>
    <row r="136" spans="1:18" x14ac:dyDescent="0.25">
      <c r="A136" s="309"/>
      <c r="B136" s="309"/>
      <c r="C136" s="309"/>
      <c r="D136" s="309"/>
      <c r="E136" s="309"/>
      <c r="F136" s="310"/>
      <c r="G136" s="309"/>
      <c r="H136" s="350" t="s">
        <v>39</v>
      </c>
      <c r="I136" s="350"/>
      <c r="J136" s="310">
        <f>TRUNC(SUMIF(L:L,$L136,M:M)*(1+$J$9),2)</f>
        <v>63.45</v>
      </c>
      <c r="L136" s="113">
        <f t="shared" si="17"/>
        <v>12</v>
      </c>
      <c r="M136" s="85" t="str">
        <f t="shared" si="18"/>
        <v/>
      </c>
      <c r="N136" s="86" t="str">
        <f t="shared" si="19"/>
        <v/>
      </c>
      <c r="O136" s="86" t="str">
        <f t="shared" si="21"/>
        <v/>
      </c>
      <c r="P136" s="87" t="str">
        <f t="shared" si="20"/>
        <v/>
      </c>
      <c r="Q136" s="86" t="str">
        <f t="shared" si="22"/>
        <v/>
      </c>
      <c r="R136" s="86" t="str">
        <f t="shared" si="23"/>
        <v/>
      </c>
    </row>
    <row r="137" spans="1:18" ht="14.4" thickBot="1" x14ac:dyDescent="0.3">
      <c r="A137" s="306"/>
      <c r="B137" s="306"/>
      <c r="C137" s="306"/>
      <c r="D137" s="306"/>
      <c r="E137" s="306"/>
      <c r="F137" s="306"/>
      <c r="G137" s="306" t="s">
        <v>40</v>
      </c>
      <c r="H137" s="308">
        <v>12</v>
      </c>
      <c r="I137" s="306" t="s">
        <v>41</v>
      </c>
      <c r="J137" s="307">
        <f>TRUNC(J136*H137,2)</f>
        <v>761.4</v>
      </c>
      <c r="L137" s="113">
        <f t="shared" si="17"/>
        <v>12</v>
      </c>
      <c r="M137" s="85" t="str">
        <f t="shared" si="18"/>
        <v/>
      </c>
      <c r="N137" s="86" t="str">
        <f t="shared" si="19"/>
        <v/>
      </c>
      <c r="O137" s="86" t="str">
        <f t="shared" si="21"/>
        <v/>
      </c>
      <c r="P137" s="87" t="str">
        <f t="shared" si="20"/>
        <v/>
      </c>
      <c r="Q137" s="86" t="str">
        <f t="shared" si="22"/>
        <v/>
      </c>
      <c r="R137" s="86" t="str">
        <f t="shared" si="23"/>
        <v/>
      </c>
    </row>
    <row r="138" spans="1:18" ht="14.4" thickTop="1" x14ac:dyDescent="0.2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L138" s="113">
        <f t="shared" si="17"/>
        <v>13</v>
      </c>
      <c r="M138" s="85" t="str">
        <f t="shared" si="18"/>
        <v/>
      </c>
      <c r="N138" s="86" t="str">
        <f t="shared" si="19"/>
        <v/>
      </c>
      <c r="O138" s="86" t="str">
        <f t="shared" si="21"/>
        <v/>
      </c>
      <c r="P138" s="87" t="str">
        <f t="shared" si="20"/>
        <v/>
      </c>
      <c r="Q138" s="86" t="str">
        <f t="shared" si="22"/>
        <v/>
      </c>
      <c r="R138" s="86" t="str">
        <f t="shared" si="23"/>
        <v/>
      </c>
    </row>
    <row r="139" spans="1:18" x14ac:dyDescent="0.25">
      <c r="A139" s="284" t="s">
        <v>681</v>
      </c>
      <c r="B139" s="286" t="s">
        <v>1</v>
      </c>
      <c r="C139" s="284" t="s">
        <v>2</v>
      </c>
      <c r="D139" s="284" t="s">
        <v>3</v>
      </c>
      <c r="E139" s="347" t="s">
        <v>19</v>
      </c>
      <c r="F139" s="347"/>
      <c r="G139" s="285" t="s">
        <v>4</v>
      </c>
      <c r="H139" s="286" t="s">
        <v>5</v>
      </c>
      <c r="I139" s="286" t="s">
        <v>6</v>
      </c>
      <c r="J139" s="286" t="s">
        <v>7</v>
      </c>
      <c r="L139" s="113">
        <f t="shared" si="17"/>
        <v>13</v>
      </c>
      <c r="M139" s="85" t="str">
        <f t="shared" si="18"/>
        <v/>
      </c>
      <c r="N139" s="86" t="str">
        <f t="shared" si="19"/>
        <v/>
      </c>
      <c r="O139" s="86" t="str">
        <f t="shared" si="21"/>
        <v/>
      </c>
      <c r="P139" s="87" t="str">
        <f t="shared" si="20"/>
        <v/>
      </c>
      <c r="Q139" s="86" t="str">
        <f t="shared" si="22"/>
        <v/>
      </c>
      <c r="R139" s="86" t="str">
        <f t="shared" si="23"/>
        <v/>
      </c>
    </row>
    <row r="140" spans="1:18" ht="13.8" customHeight="1" x14ac:dyDescent="0.25">
      <c r="A140" s="290" t="s">
        <v>20</v>
      </c>
      <c r="B140" s="292" t="s">
        <v>682</v>
      </c>
      <c r="C140" s="290" t="s">
        <v>13</v>
      </c>
      <c r="D140" s="290" t="s">
        <v>683</v>
      </c>
      <c r="E140" s="362" t="s">
        <v>315</v>
      </c>
      <c r="F140" s="362"/>
      <c r="G140" s="291" t="s">
        <v>375</v>
      </c>
      <c r="H140" s="294">
        <v>1</v>
      </c>
      <c r="I140" s="293">
        <f>SUMIF(L:L,$L140,M:M)</f>
        <v>22.349999999999998</v>
      </c>
      <c r="J140" s="293">
        <f t="shared" ref="J140:J146" si="25">TRUNC(H140*I140,2)</f>
        <v>22.35</v>
      </c>
      <c r="L140" s="113">
        <f t="shared" si="17"/>
        <v>13</v>
      </c>
      <c r="M140" s="85" t="str">
        <f t="shared" si="18"/>
        <v/>
      </c>
      <c r="N140" s="86" t="str">
        <f t="shared" si="19"/>
        <v/>
      </c>
      <c r="O140" s="86" t="str">
        <f t="shared" si="21"/>
        <v/>
      </c>
      <c r="P140" s="87" t="str">
        <f t="shared" si="20"/>
        <v xml:space="preserve"> 2.3.5 </v>
      </c>
      <c r="Q140" s="86">
        <f t="shared" si="22"/>
        <v>10.7</v>
      </c>
      <c r="R140" s="86">
        <f t="shared" si="23"/>
        <v>11.65</v>
      </c>
    </row>
    <row r="141" spans="1:18" ht="14.25" customHeight="1" x14ac:dyDescent="0.25">
      <c r="A141" s="296" t="s">
        <v>22</v>
      </c>
      <c r="B141" s="298" t="s">
        <v>313</v>
      </c>
      <c r="C141" s="296" t="s">
        <v>10</v>
      </c>
      <c r="D141" s="296" t="s">
        <v>314</v>
      </c>
      <c r="E141" s="363" t="s">
        <v>27</v>
      </c>
      <c r="F141" s="363"/>
      <c r="G141" s="297" t="s">
        <v>28</v>
      </c>
      <c r="H141" s="300">
        <v>0.25</v>
      </c>
      <c r="I141" s="299">
        <f>SUMIFS('ANALÍTICA AUXILIARES'!J:J,'ANALÍTICA AUXILIARES'!A:A,"Composição",'ANALÍTICA AUXILIARES'!B:B,$B141)</f>
        <v>24.1</v>
      </c>
      <c r="J141" s="299">
        <f t="shared" si="25"/>
        <v>6.02</v>
      </c>
      <c r="L141" s="113">
        <f t="shared" si="17"/>
        <v>13</v>
      </c>
      <c r="M141" s="85">
        <f t="shared" si="18"/>
        <v>6.02</v>
      </c>
      <c r="N141" s="86">
        <f t="shared" si="19"/>
        <v>6.02</v>
      </c>
      <c r="O141" s="86" t="str">
        <f t="shared" si="21"/>
        <v/>
      </c>
      <c r="P141" s="87" t="str">
        <f t="shared" si="20"/>
        <v/>
      </c>
      <c r="Q141" s="86" t="str">
        <f t="shared" si="22"/>
        <v/>
      </c>
      <c r="R141" s="86" t="str">
        <f t="shared" si="23"/>
        <v/>
      </c>
    </row>
    <row r="142" spans="1:18" ht="26.4" x14ac:dyDescent="0.25">
      <c r="A142" s="296" t="s">
        <v>22</v>
      </c>
      <c r="B142" s="298" t="s">
        <v>298</v>
      </c>
      <c r="C142" s="296" t="s">
        <v>10</v>
      </c>
      <c r="D142" s="296" t="s">
        <v>299</v>
      </c>
      <c r="E142" s="363" t="s">
        <v>27</v>
      </c>
      <c r="F142" s="363"/>
      <c r="G142" s="297" t="s">
        <v>28</v>
      </c>
      <c r="H142" s="300">
        <v>0.25</v>
      </c>
      <c r="I142" s="299">
        <f>SUMIFS('ANALÍTICA AUXILIARES'!J:J,'ANALÍTICA AUXILIARES'!A:A,"Composição",'ANALÍTICA AUXILIARES'!B:B,$B142)</f>
        <v>18.739999999999998</v>
      </c>
      <c r="J142" s="299">
        <f t="shared" si="25"/>
        <v>4.68</v>
      </c>
      <c r="L142" s="113">
        <f t="shared" ref="L142:L205" si="26">IF(AND(A143&lt;&gt;"",A142=""),L141+1,L141)</f>
        <v>13</v>
      </c>
      <c r="M142" s="85">
        <f t="shared" ref="M142:M205" si="27">IF(OR(A142="Insumo",A142="Composição Auxiliar"),J142,"")</f>
        <v>4.68</v>
      </c>
      <c r="N142" s="86">
        <f t="shared" ref="N142:N205" si="28">IF(ISNUMBER(SEARCH("COM ENCARGOS COMPLEMENTARES",D142)),J142,"")</f>
        <v>4.68</v>
      </c>
      <c r="O142" s="86" t="str">
        <f t="shared" si="21"/>
        <v/>
      </c>
      <c r="P142" s="87" t="str">
        <f t="shared" ref="P142:P205" si="29">IF(A142="Composição",A141,"")</f>
        <v/>
      </c>
      <c r="Q142" s="86" t="str">
        <f t="shared" si="22"/>
        <v/>
      </c>
      <c r="R142" s="86" t="str">
        <f t="shared" si="23"/>
        <v/>
      </c>
    </row>
    <row r="143" spans="1:18" ht="26.4" x14ac:dyDescent="0.25">
      <c r="A143" s="301" t="s">
        <v>31</v>
      </c>
      <c r="B143" s="303" t="s">
        <v>488</v>
      </c>
      <c r="C143" s="301" t="str">
        <f>VLOOKUP(B143,INSUMOS!$A:$I,2,FALSE)</f>
        <v>SINAPI</v>
      </c>
      <c r="D143" s="301" t="str">
        <f>VLOOKUP(B143,INSUMOS!$A:$I,3,FALSE)</f>
        <v>MEIO BLOCO DE VEDACAO DE CONCRETO 19 X 19 X 19 CM (CLASSE C - NBR 6136)</v>
      </c>
      <c r="E143" s="361" t="str">
        <f>VLOOKUP(B143,INSUMOS!$A:$I,4,FALSE)</f>
        <v>Material</v>
      </c>
      <c r="F143" s="361"/>
      <c r="G143" s="302" t="str">
        <f>VLOOKUP(B143,INSUMOS!$A:$I,5,FALSE)</f>
        <v>UN</v>
      </c>
      <c r="H143" s="305">
        <v>1</v>
      </c>
      <c r="I143" s="304">
        <f>VLOOKUP(B143,INSUMOS!$A:$I,8,FALSE)</f>
        <v>2.08</v>
      </c>
      <c r="J143" s="304">
        <f t="shared" si="25"/>
        <v>2.08</v>
      </c>
      <c r="L143" s="113">
        <f t="shared" si="26"/>
        <v>13</v>
      </c>
      <c r="M143" s="85">
        <f t="shared" si="27"/>
        <v>2.08</v>
      </c>
      <c r="N143" s="86" t="str">
        <f t="shared" si="28"/>
        <v/>
      </c>
      <c r="O143" s="86">
        <f t="shared" si="21"/>
        <v>2.08</v>
      </c>
      <c r="P143" s="87" t="str">
        <f t="shared" si="29"/>
        <v/>
      </c>
      <c r="Q143" s="86" t="str">
        <f t="shared" si="22"/>
        <v/>
      </c>
      <c r="R143" s="86" t="str">
        <f t="shared" si="23"/>
        <v/>
      </c>
    </row>
    <row r="144" spans="1:18" ht="26.4" x14ac:dyDescent="0.25">
      <c r="A144" s="301" t="s">
        <v>31</v>
      </c>
      <c r="B144" s="303" t="s">
        <v>287</v>
      </c>
      <c r="C144" s="301" t="str">
        <f>VLOOKUP(B144,INSUMOS!$A:$I,2,FALSE)</f>
        <v>SINAPI</v>
      </c>
      <c r="D144" s="301" t="str">
        <f>VLOOKUP(B144,INSUMOS!$A:$I,3,FALSE)</f>
        <v>ABRACADEIRA EM ACO PARA AMARRACAO DE ELETRODUTOS, TIPO U SIMPLES, COM 2"</v>
      </c>
      <c r="E144" s="361" t="str">
        <f>VLOOKUP(B144,INSUMOS!$A:$I,4,FALSE)</f>
        <v>Material</v>
      </c>
      <c r="F144" s="361"/>
      <c r="G144" s="302" t="str">
        <f>VLOOKUP(B144,INSUMOS!$A:$I,5,FALSE)</f>
        <v>UN</v>
      </c>
      <c r="H144" s="305">
        <v>1</v>
      </c>
      <c r="I144" s="304">
        <f>VLOOKUP(B144,INSUMOS!$A:$I,8,FALSE)</f>
        <v>1.53</v>
      </c>
      <c r="J144" s="304">
        <f t="shared" si="25"/>
        <v>1.53</v>
      </c>
      <c r="L144" s="113">
        <f t="shared" si="26"/>
        <v>13</v>
      </c>
      <c r="M144" s="85">
        <f t="shared" si="27"/>
        <v>1.53</v>
      </c>
      <c r="N144" s="86" t="str">
        <f t="shared" si="28"/>
        <v/>
      </c>
      <c r="O144" s="86">
        <f t="shared" si="21"/>
        <v>1.53</v>
      </c>
      <c r="P144" s="87" t="str">
        <f t="shared" si="29"/>
        <v/>
      </c>
      <c r="Q144" s="86" t="str">
        <f t="shared" si="22"/>
        <v/>
      </c>
      <c r="R144" s="86" t="str">
        <f t="shared" si="23"/>
        <v/>
      </c>
    </row>
    <row r="145" spans="1:18" ht="39.6" customHeight="1" x14ac:dyDescent="0.25">
      <c r="A145" s="301" t="s">
        <v>31</v>
      </c>
      <c r="B145" s="303" t="s">
        <v>289</v>
      </c>
      <c r="C145" s="301" t="str">
        <f>VLOOKUP(B145,INSUMOS!$A:$I,2,FALSE)</f>
        <v>SINAPI</v>
      </c>
      <c r="D145" s="301" t="str">
        <f>VLOOKUP(B145,INSUMOS!$A:$I,3,FALSE)</f>
        <v>BUCHA DE NYLON SEM ABA S6, COM PARAFUSO DE 4,20 X 40 MM EM ACO ZINCADO COM ROSCA SOBERBA, CABECA CHATA E FENDA PHILLIPS</v>
      </c>
      <c r="E145" s="361" t="str">
        <f>VLOOKUP(B145,INSUMOS!$A:$I,4,FALSE)</f>
        <v>Material</v>
      </c>
      <c r="F145" s="361"/>
      <c r="G145" s="302" t="str">
        <f>VLOOKUP(B145,INSUMOS!$A:$I,5,FALSE)</f>
        <v>UN</v>
      </c>
      <c r="H145" s="305">
        <v>2</v>
      </c>
      <c r="I145" s="304">
        <f>VLOOKUP(B145,INSUMOS!$A:$I,8,FALSE)</f>
        <v>0.33</v>
      </c>
      <c r="J145" s="304">
        <f t="shared" si="25"/>
        <v>0.66</v>
      </c>
      <c r="L145" s="113">
        <f t="shared" si="26"/>
        <v>13</v>
      </c>
      <c r="M145" s="85">
        <f t="shared" si="27"/>
        <v>0.66</v>
      </c>
      <c r="N145" s="86" t="str">
        <f t="shared" si="28"/>
        <v/>
      </c>
      <c r="O145" s="86">
        <f t="shared" si="21"/>
        <v>0.66</v>
      </c>
      <c r="P145" s="87" t="str">
        <f t="shared" si="29"/>
        <v/>
      </c>
      <c r="Q145" s="86" t="str">
        <f t="shared" si="22"/>
        <v/>
      </c>
      <c r="R145" s="86" t="str">
        <f t="shared" si="23"/>
        <v/>
      </c>
    </row>
    <row r="146" spans="1:18" ht="39.6" customHeight="1" x14ac:dyDescent="0.25">
      <c r="A146" s="301" t="s">
        <v>31</v>
      </c>
      <c r="B146" s="303" t="s">
        <v>439</v>
      </c>
      <c r="C146" s="301" t="str">
        <f>VLOOKUP(B146,INSUMOS!$A:$I,2,FALSE)</f>
        <v>SINAPI</v>
      </c>
      <c r="D146" s="301" t="str">
        <f>VLOOKUP(B146,INSUMOS!$A:$I,3,FALSE)</f>
        <v>ADESIVO ESTRUTURAL A BASE DE RESINA EPOXI, BICOMPONENTE, FLUIDO</v>
      </c>
      <c r="E146" s="361" t="str">
        <f>VLOOKUP(B146,INSUMOS!$A:$I,4,FALSE)</f>
        <v>Material</v>
      </c>
      <c r="F146" s="361"/>
      <c r="G146" s="302" t="str">
        <f>VLOOKUP(B146,INSUMOS!$A:$I,5,FALSE)</f>
        <v>KG</v>
      </c>
      <c r="H146" s="305">
        <v>0.15</v>
      </c>
      <c r="I146" s="304">
        <f>VLOOKUP(B146,INSUMOS!$A:$I,8,FALSE)</f>
        <v>49.21</v>
      </c>
      <c r="J146" s="304">
        <f t="shared" si="25"/>
        <v>7.38</v>
      </c>
      <c r="L146" s="113">
        <f t="shared" si="26"/>
        <v>13</v>
      </c>
      <c r="M146" s="85">
        <f t="shared" si="27"/>
        <v>7.38</v>
      </c>
      <c r="N146" s="86" t="str">
        <f t="shared" si="28"/>
        <v/>
      </c>
      <c r="O146" s="86">
        <f t="shared" si="21"/>
        <v>7.38</v>
      </c>
      <c r="P146" s="87" t="str">
        <f t="shared" si="29"/>
        <v/>
      </c>
      <c r="Q146" s="86" t="str">
        <f t="shared" si="22"/>
        <v/>
      </c>
      <c r="R146" s="86" t="str">
        <f t="shared" si="23"/>
        <v/>
      </c>
    </row>
    <row r="147" spans="1:18" ht="25.5" customHeight="1" x14ac:dyDescent="0.25">
      <c r="A147" s="309"/>
      <c r="B147" s="309"/>
      <c r="C147" s="309"/>
      <c r="D147" s="309"/>
      <c r="E147" s="309"/>
      <c r="F147" s="310"/>
      <c r="G147" s="309"/>
      <c r="H147" s="310"/>
      <c r="I147" s="309"/>
      <c r="J147" s="310"/>
      <c r="L147" s="113">
        <f t="shared" si="26"/>
        <v>13</v>
      </c>
      <c r="M147" s="85" t="str">
        <f t="shared" si="27"/>
        <v/>
      </c>
      <c r="N147" s="86" t="str">
        <f t="shared" si="28"/>
        <v/>
      </c>
      <c r="O147" s="86" t="str">
        <f t="shared" si="21"/>
        <v/>
      </c>
      <c r="P147" s="87" t="str">
        <f t="shared" si="29"/>
        <v/>
      </c>
      <c r="Q147" s="86" t="str">
        <f t="shared" si="22"/>
        <v/>
      </c>
      <c r="R147" s="86" t="str">
        <f t="shared" si="23"/>
        <v/>
      </c>
    </row>
    <row r="148" spans="1:18" ht="38.25" customHeight="1" x14ac:dyDescent="0.25">
      <c r="A148" s="309"/>
      <c r="B148" s="309"/>
      <c r="C148" s="309"/>
      <c r="D148" s="309"/>
      <c r="E148" s="309"/>
      <c r="F148" s="310"/>
      <c r="G148" s="309"/>
      <c r="H148" s="350" t="s">
        <v>39</v>
      </c>
      <c r="I148" s="350"/>
      <c r="J148" s="310">
        <f>TRUNC(SUMIF(L:L,$L148,M:M)*(1+$J$9),2)</f>
        <v>27.31</v>
      </c>
      <c r="L148" s="113">
        <f t="shared" si="26"/>
        <v>13</v>
      </c>
      <c r="M148" s="85" t="str">
        <f t="shared" si="27"/>
        <v/>
      </c>
      <c r="N148" s="86" t="str">
        <f t="shared" si="28"/>
        <v/>
      </c>
      <c r="O148" s="86" t="str">
        <f t="shared" si="21"/>
        <v/>
      </c>
      <c r="P148" s="87" t="str">
        <f t="shared" si="29"/>
        <v/>
      </c>
      <c r="Q148" s="86" t="str">
        <f t="shared" si="22"/>
        <v/>
      </c>
      <c r="R148" s="86" t="str">
        <f t="shared" si="23"/>
        <v/>
      </c>
    </row>
    <row r="149" spans="1:18" ht="14.4" thickBot="1" x14ac:dyDescent="0.3">
      <c r="A149" s="306"/>
      <c r="B149" s="306"/>
      <c r="C149" s="306"/>
      <c r="D149" s="306"/>
      <c r="E149" s="306"/>
      <c r="F149" s="306"/>
      <c r="G149" s="306" t="s">
        <v>40</v>
      </c>
      <c r="H149" s="308">
        <v>66</v>
      </c>
      <c r="I149" s="306" t="s">
        <v>41</v>
      </c>
      <c r="J149" s="307">
        <f>TRUNC(J148*H149,2)</f>
        <v>1802.46</v>
      </c>
      <c r="L149" s="113">
        <f t="shared" si="26"/>
        <v>13</v>
      </c>
      <c r="M149" s="85" t="str">
        <f t="shared" si="27"/>
        <v/>
      </c>
      <c r="N149" s="86" t="str">
        <f t="shared" si="28"/>
        <v/>
      </c>
      <c r="O149" s="86" t="str">
        <f t="shared" si="21"/>
        <v/>
      </c>
      <c r="P149" s="87" t="str">
        <f t="shared" si="29"/>
        <v/>
      </c>
      <c r="Q149" s="86" t="str">
        <f t="shared" si="22"/>
        <v/>
      </c>
      <c r="R149" s="86" t="str">
        <f t="shared" si="23"/>
        <v/>
      </c>
    </row>
    <row r="150" spans="1:18" ht="14.4" thickTop="1" x14ac:dyDescent="0.25">
      <c r="A150" s="295"/>
      <c r="B150" s="295"/>
      <c r="C150" s="295"/>
      <c r="D150" s="295"/>
      <c r="E150" s="295"/>
      <c r="F150" s="295"/>
      <c r="G150" s="295"/>
      <c r="H150" s="295"/>
      <c r="I150" s="295"/>
      <c r="J150" s="295"/>
      <c r="L150" s="113">
        <f t="shared" si="26"/>
        <v>14</v>
      </c>
      <c r="M150" s="85" t="str">
        <f t="shared" si="27"/>
        <v/>
      </c>
      <c r="N150" s="86" t="str">
        <f t="shared" si="28"/>
        <v/>
      </c>
      <c r="O150" s="86" t="str">
        <f t="shared" si="21"/>
        <v/>
      </c>
      <c r="P150" s="87" t="str">
        <f t="shared" si="29"/>
        <v/>
      </c>
      <c r="Q150" s="86" t="str">
        <f t="shared" si="22"/>
        <v/>
      </c>
      <c r="R150" s="86" t="str">
        <f t="shared" si="23"/>
        <v/>
      </c>
    </row>
    <row r="151" spans="1:18" ht="14.25" customHeight="1" x14ac:dyDescent="0.25">
      <c r="A151" s="287" t="s">
        <v>767</v>
      </c>
      <c r="B151" s="287"/>
      <c r="C151" s="287"/>
      <c r="D151" s="287" t="s">
        <v>768</v>
      </c>
      <c r="E151" s="287"/>
      <c r="F151" s="346"/>
      <c r="G151" s="346"/>
      <c r="H151" s="288"/>
      <c r="I151" s="287"/>
      <c r="J151" s="289"/>
      <c r="L151" s="113">
        <f t="shared" si="26"/>
        <v>14</v>
      </c>
      <c r="M151" s="85" t="str">
        <f t="shared" si="27"/>
        <v/>
      </c>
      <c r="N151" s="86" t="str">
        <f t="shared" si="28"/>
        <v/>
      </c>
      <c r="O151" s="86" t="str">
        <f t="shared" si="21"/>
        <v/>
      </c>
      <c r="P151" s="87" t="str">
        <f t="shared" si="29"/>
        <v/>
      </c>
      <c r="Q151" s="86" t="str">
        <f t="shared" si="22"/>
        <v/>
      </c>
      <c r="R151" s="86" t="str">
        <f t="shared" si="23"/>
        <v/>
      </c>
    </row>
    <row r="152" spans="1:18" x14ac:dyDescent="0.25">
      <c r="A152" s="284" t="s">
        <v>684</v>
      </c>
      <c r="B152" s="286" t="s">
        <v>1</v>
      </c>
      <c r="C152" s="284" t="s">
        <v>2</v>
      </c>
      <c r="D152" s="284" t="s">
        <v>3</v>
      </c>
      <c r="E152" s="347" t="s">
        <v>19</v>
      </c>
      <c r="F152" s="347"/>
      <c r="G152" s="285" t="s">
        <v>4</v>
      </c>
      <c r="H152" s="286" t="s">
        <v>5</v>
      </c>
      <c r="I152" s="286" t="s">
        <v>6</v>
      </c>
      <c r="J152" s="286" t="s">
        <v>7</v>
      </c>
      <c r="L152" s="113">
        <f t="shared" si="26"/>
        <v>14</v>
      </c>
      <c r="M152" s="85" t="str">
        <f t="shared" si="27"/>
        <v/>
      </c>
      <c r="N152" s="86" t="str">
        <f t="shared" si="28"/>
        <v/>
      </c>
      <c r="O152" s="86" t="str">
        <f t="shared" si="21"/>
        <v/>
      </c>
      <c r="P152" s="87" t="str">
        <f t="shared" si="29"/>
        <v/>
      </c>
      <c r="Q152" s="86" t="str">
        <f t="shared" si="22"/>
        <v/>
      </c>
      <c r="R152" s="86" t="str">
        <f t="shared" si="23"/>
        <v/>
      </c>
    </row>
    <row r="153" spans="1:18" ht="13.8" customHeight="1" x14ac:dyDescent="0.25">
      <c r="A153" s="290" t="s">
        <v>20</v>
      </c>
      <c r="B153" s="292" t="s">
        <v>685</v>
      </c>
      <c r="C153" s="290" t="s">
        <v>13</v>
      </c>
      <c r="D153" s="290" t="s">
        <v>686</v>
      </c>
      <c r="E153" s="362" t="s">
        <v>315</v>
      </c>
      <c r="F153" s="362"/>
      <c r="G153" s="291" t="s">
        <v>375</v>
      </c>
      <c r="H153" s="294">
        <v>1</v>
      </c>
      <c r="I153" s="293">
        <f>SUMIF(L:L,$L153,M:M)</f>
        <v>16.75</v>
      </c>
      <c r="J153" s="293">
        <f t="shared" ref="J153:J161" si="30">TRUNC(H153*I153,2)</f>
        <v>16.75</v>
      </c>
      <c r="L153" s="113">
        <f t="shared" si="26"/>
        <v>14</v>
      </c>
      <c r="M153" s="85" t="str">
        <f t="shared" si="27"/>
        <v/>
      </c>
      <c r="N153" s="86" t="str">
        <f t="shared" si="28"/>
        <v/>
      </c>
      <c r="O153" s="86" t="str">
        <f t="shared" si="21"/>
        <v/>
      </c>
      <c r="P153" s="87" t="str">
        <f t="shared" si="29"/>
        <v xml:space="preserve"> 2.4.1 </v>
      </c>
      <c r="Q153" s="86">
        <f t="shared" si="22"/>
        <v>3.55</v>
      </c>
      <c r="R153" s="86">
        <f t="shared" si="23"/>
        <v>13.2</v>
      </c>
    </row>
    <row r="154" spans="1:18" ht="26.4" x14ac:dyDescent="0.25">
      <c r="A154" s="296" t="s">
        <v>22</v>
      </c>
      <c r="B154" s="298" t="s">
        <v>313</v>
      </c>
      <c r="C154" s="296" t="s">
        <v>10</v>
      </c>
      <c r="D154" s="296" t="s">
        <v>314</v>
      </c>
      <c r="E154" s="363" t="s">
        <v>27</v>
      </c>
      <c r="F154" s="363"/>
      <c r="G154" s="297" t="s">
        <v>28</v>
      </c>
      <c r="H154" s="300">
        <v>8.3000000000000004E-2</v>
      </c>
      <c r="I154" s="299">
        <f>SUMIFS('ANALÍTICA AUXILIARES'!J:J,'ANALÍTICA AUXILIARES'!A:A,"Composição",'ANALÍTICA AUXILIARES'!B:B,$B154)</f>
        <v>24.1</v>
      </c>
      <c r="J154" s="299">
        <f t="shared" si="30"/>
        <v>2</v>
      </c>
      <c r="L154" s="113">
        <f t="shared" si="26"/>
        <v>14</v>
      </c>
      <c r="M154" s="85">
        <f t="shared" si="27"/>
        <v>2</v>
      </c>
      <c r="N154" s="86">
        <f t="shared" si="28"/>
        <v>2</v>
      </c>
      <c r="O154" s="86" t="str">
        <f t="shared" si="21"/>
        <v/>
      </c>
      <c r="P154" s="87" t="str">
        <f t="shared" si="29"/>
        <v/>
      </c>
      <c r="Q154" s="86" t="str">
        <f t="shared" si="22"/>
        <v/>
      </c>
      <c r="R154" s="86" t="str">
        <f t="shared" si="23"/>
        <v/>
      </c>
    </row>
    <row r="155" spans="1:18" ht="26.4" x14ac:dyDescent="0.25">
      <c r="A155" s="296" t="s">
        <v>22</v>
      </c>
      <c r="B155" s="298" t="s">
        <v>298</v>
      </c>
      <c r="C155" s="296" t="s">
        <v>10</v>
      </c>
      <c r="D155" s="296" t="s">
        <v>299</v>
      </c>
      <c r="E155" s="363" t="s">
        <v>27</v>
      </c>
      <c r="F155" s="363"/>
      <c r="G155" s="297" t="s">
        <v>28</v>
      </c>
      <c r="H155" s="300">
        <v>8.3000000000000004E-2</v>
      </c>
      <c r="I155" s="299">
        <f>SUMIFS('ANALÍTICA AUXILIARES'!J:J,'ANALÍTICA AUXILIARES'!A:A,"Composição",'ANALÍTICA AUXILIARES'!B:B,$B155)</f>
        <v>18.739999999999998</v>
      </c>
      <c r="J155" s="299">
        <f t="shared" si="30"/>
        <v>1.55</v>
      </c>
      <c r="L155" s="113">
        <f t="shared" si="26"/>
        <v>14</v>
      </c>
      <c r="M155" s="85">
        <f t="shared" si="27"/>
        <v>1.55</v>
      </c>
      <c r="N155" s="86">
        <f t="shared" si="28"/>
        <v>1.55</v>
      </c>
      <c r="O155" s="86" t="str">
        <f t="shared" si="21"/>
        <v/>
      </c>
      <c r="P155" s="87" t="str">
        <f t="shared" si="29"/>
        <v/>
      </c>
      <c r="Q155" s="86" t="str">
        <f t="shared" si="22"/>
        <v/>
      </c>
      <c r="R155" s="86" t="str">
        <f t="shared" si="23"/>
        <v/>
      </c>
    </row>
    <row r="156" spans="1:18" ht="25.5" customHeight="1" x14ac:dyDescent="0.25">
      <c r="A156" s="301" t="s">
        <v>31</v>
      </c>
      <c r="B156" s="303" t="s">
        <v>458</v>
      </c>
      <c r="C156" s="301" t="str">
        <f>VLOOKUP(B156,INSUMOS!$A:$I,2,FALSE)</f>
        <v>ORSE</v>
      </c>
      <c r="D156" s="301" t="str">
        <f>VLOOKUP(B156,INSUMOS!$A:$I,3,FALSE)</f>
        <v>Parafuso em aço inox, cabeça sextavada 1/4" x 1 1/4"</v>
      </c>
      <c r="E156" s="361" t="str">
        <f>VLOOKUP(B156,INSUMOS!$A:$I,4,FALSE)</f>
        <v>Material</v>
      </c>
      <c r="F156" s="361"/>
      <c r="G156" s="302" t="str">
        <f>VLOOKUP(B156,INSUMOS!$A:$I,5,FALSE)</f>
        <v>un</v>
      </c>
      <c r="H156" s="305">
        <v>2</v>
      </c>
      <c r="I156" s="304">
        <f>VLOOKUP(B156,INSUMOS!$A:$I,8,FALSE)</f>
        <v>0.62</v>
      </c>
      <c r="J156" s="304">
        <f t="shared" si="30"/>
        <v>1.24</v>
      </c>
      <c r="L156" s="113">
        <f t="shared" si="26"/>
        <v>14</v>
      </c>
      <c r="M156" s="85">
        <f t="shared" si="27"/>
        <v>1.24</v>
      </c>
      <c r="N156" s="86" t="str">
        <f t="shared" si="28"/>
        <v/>
      </c>
      <c r="O156" s="86">
        <f t="shared" si="21"/>
        <v>1.24</v>
      </c>
      <c r="P156" s="87" t="str">
        <f t="shared" si="29"/>
        <v/>
      </c>
      <c r="Q156" s="86" t="str">
        <f t="shared" si="22"/>
        <v/>
      </c>
      <c r="R156" s="86" t="str">
        <f t="shared" si="23"/>
        <v/>
      </c>
    </row>
    <row r="157" spans="1:18" ht="25.5" customHeight="1" x14ac:dyDescent="0.25">
      <c r="A157" s="301" t="s">
        <v>31</v>
      </c>
      <c r="B157" s="303" t="s">
        <v>496</v>
      </c>
      <c r="C157" s="301" t="str">
        <f>VLOOKUP(B157,INSUMOS!$A:$I,2,FALSE)</f>
        <v>ORSE</v>
      </c>
      <c r="D157" s="301" t="str">
        <f>VLOOKUP(B157,INSUMOS!$A:$I,3,FALSE)</f>
        <v>Arruela de pressão em aço inox 1/4"</v>
      </c>
      <c r="E157" s="361" t="str">
        <f>VLOOKUP(B157,INSUMOS!$A:$I,4,FALSE)</f>
        <v>Material</v>
      </c>
      <c r="F157" s="361"/>
      <c r="G157" s="302" t="str">
        <f>VLOOKUP(B157,INSUMOS!$A:$I,5,FALSE)</f>
        <v>un</v>
      </c>
      <c r="H157" s="305">
        <v>2</v>
      </c>
      <c r="I157" s="304">
        <f>VLOOKUP(B157,INSUMOS!$A:$I,8,FALSE)</f>
        <v>0.25</v>
      </c>
      <c r="J157" s="304">
        <f t="shared" si="30"/>
        <v>0.5</v>
      </c>
      <c r="L157" s="113">
        <f t="shared" si="26"/>
        <v>14</v>
      </c>
      <c r="M157" s="85">
        <f t="shared" si="27"/>
        <v>0.5</v>
      </c>
      <c r="N157" s="86" t="str">
        <f t="shared" si="28"/>
        <v/>
      </c>
      <c r="O157" s="86">
        <f t="shared" si="21"/>
        <v>0.5</v>
      </c>
      <c r="P157" s="87" t="str">
        <f t="shared" si="29"/>
        <v/>
      </c>
      <c r="Q157" s="86" t="str">
        <f t="shared" si="22"/>
        <v/>
      </c>
      <c r="R157" s="86" t="str">
        <f t="shared" si="23"/>
        <v/>
      </c>
    </row>
    <row r="158" spans="1:18" x14ac:dyDescent="0.25">
      <c r="A158" s="301" t="s">
        <v>31</v>
      </c>
      <c r="B158" s="303" t="s">
        <v>460</v>
      </c>
      <c r="C158" s="301" t="str">
        <f>VLOOKUP(B158,INSUMOS!$A:$I,2,FALSE)</f>
        <v>ORSE</v>
      </c>
      <c r="D158" s="301" t="str">
        <f>VLOOKUP(B158,INSUMOS!$A:$I,3,FALSE)</f>
        <v>Arruela lisa em aço inox 1/4"</v>
      </c>
      <c r="E158" s="361" t="str">
        <f>VLOOKUP(B158,INSUMOS!$A:$I,4,FALSE)</f>
        <v>Material</v>
      </c>
      <c r="F158" s="361"/>
      <c r="G158" s="302" t="str">
        <f>VLOOKUP(B158,INSUMOS!$A:$I,5,FALSE)</f>
        <v>un</v>
      </c>
      <c r="H158" s="305">
        <v>4</v>
      </c>
      <c r="I158" s="304">
        <f>VLOOKUP(B158,INSUMOS!$A:$I,8,FALSE)</f>
        <v>0.3</v>
      </c>
      <c r="J158" s="304">
        <f t="shared" si="30"/>
        <v>1.2</v>
      </c>
      <c r="L158" s="113">
        <f t="shared" si="26"/>
        <v>14</v>
      </c>
      <c r="M158" s="85">
        <f t="shared" si="27"/>
        <v>1.2</v>
      </c>
      <c r="N158" s="86" t="str">
        <f t="shared" si="28"/>
        <v/>
      </c>
      <c r="O158" s="86">
        <f t="shared" si="21"/>
        <v>1.2</v>
      </c>
      <c r="P158" s="87" t="str">
        <f t="shared" si="29"/>
        <v/>
      </c>
      <c r="Q158" s="86" t="str">
        <f t="shared" si="22"/>
        <v/>
      </c>
      <c r="R158" s="86" t="str">
        <f t="shared" si="23"/>
        <v/>
      </c>
    </row>
    <row r="159" spans="1:18" ht="14.25" customHeight="1" x14ac:dyDescent="0.25">
      <c r="A159" s="301" t="s">
        <v>31</v>
      </c>
      <c r="B159" s="303" t="s">
        <v>502</v>
      </c>
      <c r="C159" s="301" t="str">
        <f>VLOOKUP(B159,INSUMOS!$A:$I,2,FALSE)</f>
        <v>ORSE</v>
      </c>
      <c r="D159" s="301" t="str">
        <f>VLOOKUP(B159,INSUMOS!$A:$I,3,FALSE)</f>
        <v>Porca em aço inox sextavada 1/4"</v>
      </c>
      <c r="E159" s="361" t="str">
        <f>VLOOKUP(B159,INSUMOS!$A:$I,4,FALSE)</f>
        <v>Material</v>
      </c>
      <c r="F159" s="361"/>
      <c r="G159" s="302" t="str">
        <f>VLOOKUP(B159,INSUMOS!$A:$I,5,FALSE)</f>
        <v>un</v>
      </c>
      <c r="H159" s="305">
        <v>2</v>
      </c>
      <c r="I159" s="304">
        <f>VLOOKUP(B159,INSUMOS!$A:$I,8,FALSE)</f>
        <v>0.23</v>
      </c>
      <c r="J159" s="304">
        <f t="shared" si="30"/>
        <v>0.46</v>
      </c>
      <c r="L159" s="113">
        <f t="shared" si="26"/>
        <v>14</v>
      </c>
      <c r="M159" s="85">
        <f t="shared" si="27"/>
        <v>0.46</v>
      </c>
      <c r="N159" s="86" t="str">
        <f t="shared" si="28"/>
        <v/>
      </c>
      <c r="O159" s="86">
        <f t="shared" si="21"/>
        <v>0.46</v>
      </c>
      <c r="P159" s="87" t="str">
        <f t="shared" si="29"/>
        <v/>
      </c>
      <c r="Q159" s="86" t="str">
        <f t="shared" si="22"/>
        <v/>
      </c>
      <c r="R159" s="86" t="str">
        <f t="shared" si="23"/>
        <v/>
      </c>
    </row>
    <row r="160" spans="1:18" ht="26.4" x14ac:dyDescent="0.25">
      <c r="A160" s="301" t="s">
        <v>31</v>
      </c>
      <c r="B160" s="303" t="s">
        <v>400</v>
      </c>
      <c r="C160" s="301" t="str">
        <f>VLOOKUP(B160,INSUMOS!$A:$I,2,FALSE)</f>
        <v>SINAPI</v>
      </c>
      <c r="D160" s="301" t="str">
        <f>VLOOKUP(B160,INSUMOS!$A:$I,3,FALSE)</f>
        <v>CABO DE COBRE, FLEXIVEL, CLASSE 4 OU 5, ISOLACAO EM PVC/A, ANTICHAMA BWF-B, 1 CONDUTOR, 450/750 V, SECAO NOMINAL 6 MM2</v>
      </c>
      <c r="E160" s="361" t="str">
        <f>VLOOKUP(B160,INSUMOS!$A:$I,4,FALSE)</f>
        <v>Material</v>
      </c>
      <c r="F160" s="361"/>
      <c r="G160" s="302" t="str">
        <f>VLOOKUP(B160,INSUMOS!$A:$I,5,FALSE)</f>
        <v>M</v>
      </c>
      <c r="H160" s="305">
        <v>1.2</v>
      </c>
      <c r="I160" s="304">
        <f>VLOOKUP(B160,INSUMOS!$A:$I,8,FALSE)</f>
        <v>5.89</v>
      </c>
      <c r="J160" s="304">
        <f t="shared" si="30"/>
        <v>7.06</v>
      </c>
      <c r="L160" s="113">
        <f t="shared" si="26"/>
        <v>14</v>
      </c>
      <c r="M160" s="85">
        <f t="shared" si="27"/>
        <v>7.06</v>
      </c>
      <c r="N160" s="86" t="str">
        <f t="shared" si="28"/>
        <v/>
      </c>
      <c r="O160" s="86">
        <f t="shared" si="21"/>
        <v>7.06</v>
      </c>
      <c r="P160" s="87" t="str">
        <f t="shared" si="29"/>
        <v/>
      </c>
      <c r="Q160" s="86" t="str">
        <f t="shared" si="22"/>
        <v/>
      </c>
      <c r="R160" s="86" t="str">
        <f t="shared" si="23"/>
        <v/>
      </c>
    </row>
    <row r="161" spans="1:18" ht="26.4" x14ac:dyDescent="0.25">
      <c r="A161" s="301" t="s">
        <v>31</v>
      </c>
      <c r="B161" s="303" t="s">
        <v>435</v>
      </c>
      <c r="C161" s="301" t="str">
        <f>VLOOKUP(B161,INSUMOS!$A:$I,2,FALSE)</f>
        <v>SINAPI</v>
      </c>
      <c r="D161" s="301" t="str">
        <f>VLOOKUP(B161,INSUMOS!$A:$I,3,FALSE)</f>
        <v>TERMINAL A COMPRESSAO EM COBRE ESTANHADO PARA CABO 6 MM2, 1 FURO E 1 COMPRESSAO, PARA PARAFUSO DE FIXACAO M6</v>
      </c>
      <c r="E161" s="361" t="str">
        <f>VLOOKUP(B161,INSUMOS!$A:$I,4,FALSE)</f>
        <v>Material</v>
      </c>
      <c r="F161" s="361"/>
      <c r="G161" s="302" t="str">
        <f>VLOOKUP(B161,INSUMOS!$A:$I,5,FALSE)</f>
        <v>UN</v>
      </c>
      <c r="H161" s="305">
        <v>2</v>
      </c>
      <c r="I161" s="304">
        <f>VLOOKUP(B161,INSUMOS!$A:$I,8,FALSE)</f>
        <v>1.37</v>
      </c>
      <c r="J161" s="304">
        <f t="shared" si="30"/>
        <v>2.74</v>
      </c>
      <c r="L161" s="113">
        <f t="shared" si="26"/>
        <v>14</v>
      </c>
      <c r="M161" s="85">
        <f t="shared" si="27"/>
        <v>2.74</v>
      </c>
      <c r="N161" s="86" t="str">
        <f t="shared" si="28"/>
        <v/>
      </c>
      <c r="O161" s="86">
        <f t="shared" si="21"/>
        <v>2.74</v>
      </c>
      <c r="P161" s="87" t="str">
        <f t="shared" si="29"/>
        <v/>
      </c>
      <c r="Q161" s="86" t="str">
        <f t="shared" si="22"/>
        <v/>
      </c>
      <c r="R161" s="86" t="str">
        <f t="shared" si="23"/>
        <v/>
      </c>
    </row>
    <row r="162" spans="1:18" ht="26.4" customHeight="1" x14ac:dyDescent="0.25">
      <c r="A162" s="309"/>
      <c r="B162" s="309"/>
      <c r="C162" s="309"/>
      <c r="D162" s="309"/>
      <c r="E162" s="309"/>
      <c r="F162" s="310"/>
      <c r="G162" s="309"/>
      <c r="H162" s="310"/>
      <c r="I162" s="309"/>
      <c r="J162" s="310"/>
      <c r="L162" s="113">
        <f t="shared" si="26"/>
        <v>14</v>
      </c>
      <c r="M162" s="85" t="str">
        <f t="shared" si="27"/>
        <v/>
      </c>
      <c r="N162" s="86" t="str">
        <f t="shared" si="28"/>
        <v/>
      </c>
      <c r="O162" s="86" t="str">
        <f t="shared" si="21"/>
        <v/>
      </c>
      <c r="P162" s="87" t="str">
        <f t="shared" si="29"/>
        <v/>
      </c>
      <c r="Q162" s="86" t="str">
        <f t="shared" si="22"/>
        <v/>
      </c>
      <c r="R162" s="86" t="str">
        <f t="shared" si="23"/>
        <v/>
      </c>
    </row>
    <row r="163" spans="1:18" ht="26.4" customHeight="1" x14ac:dyDescent="0.25">
      <c r="A163" s="309"/>
      <c r="B163" s="309"/>
      <c r="C163" s="309"/>
      <c r="D163" s="309"/>
      <c r="E163" s="309"/>
      <c r="F163" s="310"/>
      <c r="G163" s="309"/>
      <c r="H163" s="350" t="s">
        <v>39</v>
      </c>
      <c r="I163" s="350"/>
      <c r="J163" s="310">
        <f>TRUNC(SUMIF(L:L,$L163,M:M)*(1+$J$9),2)</f>
        <v>20.47</v>
      </c>
      <c r="L163" s="113">
        <f t="shared" si="26"/>
        <v>14</v>
      </c>
      <c r="M163" s="85" t="str">
        <f t="shared" si="27"/>
        <v/>
      </c>
      <c r="N163" s="86" t="str">
        <f t="shared" si="28"/>
        <v/>
      </c>
      <c r="O163" s="86" t="str">
        <f t="shared" si="21"/>
        <v/>
      </c>
      <c r="P163" s="87" t="str">
        <f t="shared" si="29"/>
        <v/>
      </c>
      <c r="Q163" s="86" t="str">
        <f t="shared" si="22"/>
        <v/>
      </c>
      <c r="R163" s="86" t="str">
        <f t="shared" si="23"/>
        <v/>
      </c>
    </row>
    <row r="164" spans="1:18" ht="14.4" thickBot="1" x14ac:dyDescent="0.3">
      <c r="A164" s="306"/>
      <c r="B164" s="306"/>
      <c r="C164" s="306"/>
      <c r="D164" s="306"/>
      <c r="E164" s="306"/>
      <c r="F164" s="306"/>
      <c r="G164" s="306" t="s">
        <v>40</v>
      </c>
      <c r="H164" s="308">
        <v>240</v>
      </c>
      <c r="I164" s="306" t="s">
        <v>41</v>
      </c>
      <c r="J164" s="307">
        <f>TRUNC(J163*H164,2)</f>
        <v>4912.8</v>
      </c>
      <c r="L164" s="113">
        <f t="shared" si="26"/>
        <v>14</v>
      </c>
      <c r="M164" s="85" t="str">
        <f t="shared" si="27"/>
        <v/>
      </c>
      <c r="N164" s="86" t="str">
        <f t="shared" si="28"/>
        <v/>
      </c>
      <c r="O164" s="86" t="str">
        <f t="shared" ref="O164:O227" si="31">IF(N164&lt;&gt;"","",M164)</f>
        <v/>
      </c>
      <c r="P164" s="87" t="str">
        <f t="shared" si="29"/>
        <v/>
      </c>
      <c r="Q164" s="86" t="str">
        <f t="shared" ref="Q164:Q176" si="32">IF(P164&lt;&gt;"",SUMIF(L164:L264,L164,N164:N264),"")</f>
        <v/>
      </c>
      <c r="R164" s="86" t="str">
        <f t="shared" ref="R164:R176" si="33">IF(P164&lt;&gt;"",SUMIF(L164:L264,L164,O164:O264),"")</f>
        <v/>
      </c>
    </row>
    <row r="165" spans="1:18" ht="13.8" customHeight="1" thickTop="1" x14ac:dyDescent="0.25">
      <c r="A165" s="295"/>
      <c r="B165" s="295"/>
      <c r="C165" s="295"/>
      <c r="D165" s="295"/>
      <c r="E165" s="295"/>
      <c r="F165" s="295"/>
      <c r="G165" s="295"/>
      <c r="H165" s="295"/>
      <c r="I165" s="295"/>
      <c r="J165" s="295"/>
      <c r="L165" s="113">
        <f t="shared" si="26"/>
        <v>15</v>
      </c>
      <c r="M165" s="85" t="str">
        <f t="shared" si="27"/>
        <v/>
      </c>
      <c r="N165" s="86" t="str">
        <f t="shared" si="28"/>
        <v/>
      </c>
      <c r="O165" s="86" t="str">
        <f t="shared" si="31"/>
        <v/>
      </c>
      <c r="P165" s="87" t="str">
        <f t="shared" si="29"/>
        <v/>
      </c>
      <c r="Q165" s="86" t="str">
        <f t="shared" si="32"/>
        <v/>
      </c>
      <c r="R165" s="86" t="str">
        <f t="shared" si="33"/>
        <v/>
      </c>
    </row>
    <row r="166" spans="1:18" x14ac:dyDescent="0.25">
      <c r="A166" s="284" t="s">
        <v>687</v>
      </c>
      <c r="B166" s="286" t="s">
        <v>1</v>
      </c>
      <c r="C166" s="284" t="s">
        <v>2</v>
      </c>
      <c r="D166" s="284" t="s">
        <v>3</v>
      </c>
      <c r="E166" s="347" t="s">
        <v>19</v>
      </c>
      <c r="F166" s="347"/>
      <c r="G166" s="285" t="s">
        <v>4</v>
      </c>
      <c r="H166" s="286" t="s">
        <v>5</v>
      </c>
      <c r="I166" s="286" t="s">
        <v>6</v>
      </c>
      <c r="J166" s="286" t="s">
        <v>7</v>
      </c>
      <c r="L166" s="113">
        <f t="shared" si="26"/>
        <v>15</v>
      </c>
      <c r="M166" s="85" t="str">
        <f t="shared" si="27"/>
        <v/>
      </c>
      <c r="N166" s="86" t="str">
        <f t="shared" si="28"/>
        <v/>
      </c>
      <c r="O166" s="86" t="str">
        <f t="shared" si="31"/>
        <v/>
      </c>
      <c r="P166" s="87" t="str">
        <f t="shared" si="29"/>
        <v/>
      </c>
      <c r="Q166" s="86" t="str">
        <f t="shared" si="32"/>
        <v/>
      </c>
      <c r="R166" s="86" t="str">
        <f t="shared" si="33"/>
        <v/>
      </c>
    </row>
    <row r="167" spans="1:18" ht="38.25" customHeight="1" x14ac:dyDescent="0.25">
      <c r="A167" s="290" t="s">
        <v>20</v>
      </c>
      <c r="B167" s="292" t="s">
        <v>688</v>
      </c>
      <c r="C167" s="290" t="s">
        <v>13</v>
      </c>
      <c r="D167" s="290" t="s">
        <v>689</v>
      </c>
      <c r="E167" s="362" t="s">
        <v>315</v>
      </c>
      <c r="F167" s="362"/>
      <c r="G167" s="291" t="s">
        <v>690</v>
      </c>
      <c r="H167" s="294">
        <v>1</v>
      </c>
      <c r="I167" s="293">
        <f>SUMIF(L:L,$L167,M:M)</f>
        <v>17.32</v>
      </c>
      <c r="J167" s="293">
        <f>TRUNC(H167*I167,2)</f>
        <v>17.32</v>
      </c>
      <c r="L167" s="113">
        <f t="shared" si="26"/>
        <v>15</v>
      </c>
      <c r="M167" s="85" t="str">
        <f t="shared" si="27"/>
        <v/>
      </c>
      <c r="N167" s="86" t="str">
        <f t="shared" si="28"/>
        <v/>
      </c>
      <c r="O167" s="86" t="str">
        <f t="shared" si="31"/>
        <v/>
      </c>
      <c r="P167" s="87" t="str">
        <f t="shared" si="29"/>
        <v xml:space="preserve"> 2.4.2 </v>
      </c>
      <c r="Q167" s="86">
        <f t="shared" si="32"/>
        <v>4.09</v>
      </c>
      <c r="R167" s="86">
        <f t="shared" si="33"/>
        <v>13.23</v>
      </c>
    </row>
    <row r="168" spans="1:18" ht="38.25" customHeight="1" x14ac:dyDescent="0.25">
      <c r="A168" s="296" t="s">
        <v>22</v>
      </c>
      <c r="B168" s="298" t="s">
        <v>313</v>
      </c>
      <c r="C168" s="296" t="s">
        <v>10</v>
      </c>
      <c r="D168" s="296" t="s">
        <v>314</v>
      </c>
      <c r="E168" s="363" t="s">
        <v>27</v>
      </c>
      <c r="F168" s="363"/>
      <c r="G168" s="297" t="s">
        <v>28</v>
      </c>
      <c r="H168" s="300">
        <v>9.5699999999999993E-2</v>
      </c>
      <c r="I168" s="299">
        <f>SUMIFS('ANALÍTICA AUXILIARES'!J:J,'ANALÍTICA AUXILIARES'!A:A,"Composição",'ANALÍTICA AUXILIARES'!B:B,$B168)</f>
        <v>24.1</v>
      </c>
      <c r="J168" s="299">
        <f>TRUNC(H168*I168,2)</f>
        <v>2.2999999999999998</v>
      </c>
      <c r="L168" s="113">
        <f t="shared" si="26"/>
        <v>15</v>
      </c>
      <c r="M168" s="85">
        <f t="shared" si="27"/>
        <v>2.2999999999999998</v>
      </c>
      <c r="N168" s="86">
        <f t="shared" si="28"/>
        <v>2.2999999999999998</v>
      </c>
      <c r="O168" s="86" t="str">
        <f t="shared" si="31"/>
        <v/>
      </c>
      <c r="P168" s="87" t="str">
        <f t="shared" si="29"/>
        <v/>
      </c>
      <c r="Q168" s="86" t="str">
        <f t="shared" si="32"/>
        <v/>
      </c>
      <c r="R168" s="86" t="str">
        <f t="shared" si="33"/>
        <v/>
      </c>
    </row>
    <row r="169" spans="1:18" ht="26.4" x14ac:dyDescent="0.25">
      <c r="A169" s="296" t="s">
        <v>22</v>
      </c>
      <c r="B169" s="298" t="s">
        <v>298</v>
      </c>
      <c r="C169" s="296" t="s">
        <v>10</v>
      </c>
      <c r="D169" s="296" t="s">
        <v>299</v>
      </c>
      <c r="E169" s="363" t="s">
        <v>27</v>
      </c>
      <c r="F169" s="363"/>
      <c r="G169" s="297" t="s">
        <v>28</v>
      </c>
      <c r="H169" s="300">
        <v>9.5699999999999993E-2</v>
      </c>
      <c r="I169" s="299">
        <f>SUMIFS('ANALÍTICA AUXILIARES'!J:J,'ANALÍTICA AUXILIARES'!A:A,"Composição",'ANALÍTICA AUXILIARES'!B:B,$B169)</f>
        <v>18.739999999999998</v>
      </c>
      <c r="J169" s="299">
        <f>TRUNC(H169*I169,2)</f>
        <v>1.79</v>
      </c>
      <c r="L169" s="113">
        <f t="shared" si="26"/>
        <v>15</v>
      </c>
      <c r="M169" s="85">
        <f t="shared" si="27"/>
        <v>1.79</v>
      </c>
      <c r="N169" s="86">
        <f t="shared" si="28"/>
        <v>1.79</v>
      </c>
      <c r="O169" s="86" t="str">
        <f t="shared" si="31"/>
        <v/>
      </c>
      <c r="P169" s="87" t="str">
        <f t="shared" si="29"/>
        <v/>
      </c>
      <c r="Q169" s="86" t="str">
        <f t="shared" si="32"/>
        <v/>
      </c>
      <c r="R169" s="86" t="str">
        <f t="shared" si="33"/>
        <v/>
      </c>
    </row>
    <row r="170" spans="1:18" ht="38.25" customHeight="1" x14ac:dyDescent="0.25">
      <c r="A170" s="301" t="s">
        <v>31</v>
      </c>
      <c r="B170" s="303" t="s">
        <v>412</v>
      </c>
      <c r="C170" s="301" t="str">
        <f>VLOOKUP(B170,INSUMOS!$A:$I,2,FALSE)</f>
        <v>SINAPI</v>
      </c>
      <c r="D170" s="301" t="str">
        <f>VLOOKUP(B170,INSUMOS!$A:$I,3,FALSE)</f>
        <v>CABO DE COBRE NU 16 MM2 MEIO-DURO</v>
      </c>
      <c r="E170" s="361" t="str">
        <f>VLOOKUP(B170,INSUMOS!$A:$I,4,FALSE)</f>
        <v>Material</v>
      </c>
      <c r="F170" s="361"/>
      <c r="G170" s="302" t="str">
        <f>VLOOKUP(B170,INSUMOS!$A:$I,5,FALSE)</f>
        <v>M</v>
      </c>
      <c r="H170" s="305">
        <v>1.05</v>
      </c>
      <c r="I170" s="304">
        <f>VLOOKUP(B170,INSUMOS!$A:$I,8,FALSE)</f>
        <v>12.6</v>
      </c>
      <c r="J170" s="304">
        <f>TRUNC(H170*I170,2)</f>
        <v>13.23</v>
      </c>
      <c r="L170" s="113">
        <f t="shared" si="26"/>
        <v>15</v>
      </c>
      <c r="M170" s="85">
        <f t="shared" si="27"/>
        <v>13.23</v>
      </c>
      <c r="N170" s="86" t="str">
        <f t="shared" si="28"/>
        <v/>
      </c>
      <c r="O170" s="86">
        <f t="shared" si="31"/>
        <v>13.23</v>
      </c>
      <c r="P170" s="87" t="str">
        <f t="shared" si="29"/>
        <v/>
      </c>
      <c r="Q170" s="86" t="str">
        <f t="shared" si="32"/>
        <v/>
      </c>
      <c r="R170" s="86" t="str">
        <f t="shared" si="33"/>
        <v/>
      </c>
    </row>
    <row r="171" spans="1:18" ht="38.25" customHeight="1" x14ac:dyDescent="0.25">
      <c r="A171" s="309"/>
      <c r="B171" s="309"/>
      <c r="C171" s="309"/>
      <c r="D171" s="309"/>
      <c r="E171" s="309"/>
      <c r="F171" s="310"/>
      <c r="G171" s="309"/>
      <c r="H171" s="310"/>
      <c r="I171" s="309"/>
      <c r="J171" s="310"/>
      <c r="L171" s="113">
        <f t="shared" si="26"/>
        <v>15</v>
      </c>
      <c r="M171" s="85" t="str">
        <f t="shared" si="27"/>
        <v/>
      </c>
      <c r="N171" s="86" t="str">
        <f t="shared" si="28"/>
        <v/>
      </c>
      <c r="O171" s="86" t="str">
        <f t="shared" si="31"/>
        <v/>
      </c>
      <c r="P171" s="87" t="str">
        <f t="shared" si="29"/>
        <v/>
      </c>
      <c r="Q171" s="86" t="str">
        <f t="shared" si="32"/>
        <v/>
      </c>
      <c r="R171" s="86" t="str">
        <f t="shared" si="33"/>
        <v/>
      </c>
    </row>
    <row r="172" spans="1:18" x14ac:dyDescent="0.25">
      <c r="A172" s="309"/>
      <c r="B172" s="309"/>
      <c r="C172" s="309"/>
      <c r="D172" s="309"/>
      <c r="E172" s="309"/>
      <c r="F172" s="310"/>
      <c r="G172" s="309"/>
      <c r="H172" s="350" t="s">
        <v>39</v>
      </c>
      <c r="I172" s="350"/>
      <c r="J172" s="310">
        <f>TRUNC(SUMIF(L:L,$L172,M:M)*(1+$J$9),2)</f>
        <v>21.16</v>
      </c>
      <c r="L172" s="113">
        <f t="shared" si="26"/>
        <v>15</v>
      </c>
      <c r="M172" s="85" t="str">
        <f t="shared" si="27"/>
        <v/>
      </c>
      <c r="N172" s="86" t="str">
        <f t="shared" si="28"/>
        <v/>
      </c>
      <c r="O172" s="86" t="str">
        <f t="shared" si="31"/>
        <v/>
      </c>
      <c r="P172" s="87" t="str">
        <f t="shared" si="29"/>
        <v/>
      </c>
      <c r="Q172" s="86" t="str">
        <f t="shared" si="32"/>
        <v/>
      </c>
      <c r="R172" s="86" t="str">
        <f t="shared" si="33"/>
        <v/>
      </c>
    </row>
    <row r="173" spans="1:18" ht="26.4" customHeight="1" thickBot="1" x14ac:dyDescent="0.3">
      <c r="A173" s="306"/>
      <c r="B173" s="306"/>
      <c r="C173" s="306"/>
      <c r="D173" s="306"/>
      <c r="E173" s="306"/>
      <c r="F173" s="306"/>
      <c r="G173" s="306" t="s">
        <v>40</v>
      </c>
      <c r="H173" s="308">
        <v>117</v>
      </c>
      <c r="I173" s="306" t="s">
        <v>41</v>
      </c>
      <c r="J173" s="307">
        <f>TRUNC(J172*H173,2)</f>
        <v>2475.7199999999998</v>
      </c>
      <c r="L173" s="113">
        <f t="shared" si="26"/>
        <v>15</v>
      </c>
      <c r="M173" s="85" t="str">
        <f t="shared" si="27"/>
        <v/>
      </c>
      <c r="N173" s="86" t="str">
        <f t="shared" si="28"/>
        <v/>
      </c>
      <c r="O173" s="86" t="str">
        <f t="shared" si="31"/>
        <v/>
      </c>
      <c r="P173" s="87" t="str">
        <f t="shared" si="29"/>
        <v/>
      </c>
      <c r="Q173" s="86" t="str">
        <f t="shared" si="32"/>
        <v/>
      </c>
      <c r="R173" s="86" t="str">
        <f t="shared" si="33"/>
        <v/>
      </c>
    </row>
    <row r="174" spans="1:18" ht="26.4" customHeight="1" thickTop="1" x14ac:dyDescent="0.2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L174" s="113">
        <f t="shared" si="26"/>
        <v>16</v>
      </c>
      <c r="M174" s="85" t="str">
        <f t="shared" si="27"/>
        <v/>
      </c>
      <c r="N174" s="86" t="str">
        <f t="shared" si="28"/>
        <v/>
      </c>
      <c r="O174" s="86" t="str">
        <f t="shared" si="31"/>
        <v/>
      </c>
      <c r="P174" s="87" t="str">
        <f t="shared" si="29"/>
        <v/>
      </c>
      <c r="Q174" s="86" t="str">
        <f t="shared" si="32"/>
        <v/>
      </c>
      <c r="R174" s="86" t="str">
        <f t="shared" si="33"/>
        <v/>
      </c>
    </row>
    <row r="175" spans="1:18" ht="14.25" customHeight="1" x14ac:dyDescent="0.25">
      <c r="A175" s="287" t="s">
        <v>769</v>
      </c>
      <c r="B175" s="287"/>
      <c r="C175" s="287"/>
      <c r="D175" s="287" t="s">
        <v>770</v>
      </c>
      <c r="E175" s="287"/>
      <c r="F175" s="346"/>
      <c r="G175" s="346"/>
      <c r="H175" s="288"/>
      <c r="I175" s="287"/>
      <c r="J175" s="289"/>
      <c r="L175" s="113">
        <f t="shared" si="26"/>
        <v>16</v>
      </c>
      <c r="M175" s="85" t="str">
        <f t="shared" si="27"/>
        <v/>
      </c>
      <c r="N175" s="86" t="str">
        <f t="shared" si="28"/>
        <v/>
      </c>
      <c r="O175" s="86" t="str">
        <f t="shared" si="31"/>
        <v/>
      </c>
      <c r="P175" s="87" t="str">
        <f t="shared" si="29"/>
        <v/>
      </c>
      <c r="Q175" s="86" t="str">
        <f t="shared" si="32"/>
        <v/>
      </c>
      <c r="R175" s="86" t="str">
        <f t="shared" si="33"/>
        <v/>
      </c>
    </row>
    <row r="176" spans="1:18" ht="13.8" customHeight="1" x14ac:dyDescent="0.25">
      <c r="A176" s="284" t="s">
        <v>691</v>
      </c>
      <c r="B176" s="286" t="s">
        <v>1</v>
      </c>
      <c r="C176" s="284" t="s">
        <v>2</v>
      </c>
      <c r="D176" s="284" t="s">
        <v>3</v>
      </c>
      <c r="E176" s="347" t="s">
        <v>19</v>
      </c>
      <c r="F176" s="347"/>
      <c r="G176" s="285" t="s">
        <v>4</v>
      </c>
      <c r="H176" s="286" t="s">
        <v>5</v>
      </c>
      <c r="I176" s="286" t="s">
        <v>6</v>
      </c>
      <c r="J176" s="286" t="s">
        <v>7</v>
      </c>
      <c r="L176" s="113">
        <f t="shared" si="26"/>
        <v>16</v>
      </c>
      <c r="M176" s="85" t="str">
        <f t="shared" si="27"/>
        <v/>
      </c>
      <c r="N176" s="86" t="str">
        <f t="shared" si="28"/>
        <v/>
      </c>
      <c r="O176" s="86" t="str">
        <f t="shared" si="31"/>
        <v/>
      </c>
      <c r="P176" s="87" t="str">
        <f t="shared" si="29"/>
        <v/>
      </c>
      <c r="Q176" s="86" t="str">
        <f t="shared" si="32"/>
        <v/>
      </c>
      <c r="R176" s="86" t="str">
        <f t="shared" si="33"/>
        <v/>
      </c>
    </row>
    <row r="177" spans="1:18" ht="26.4" x14ac:dyDescent="0.25">
      <c r="A177" s="290" t="s">
        <v>20</v>
      </c>
      <c r="B177" s="292" t="s">
        <v>692</v>
      </c>
      <c r="C177" s="290" t="s">
        <v>13</v>
      </c>
      <c r="D177" s="290" t="s">
        <v>693</v>
      </c>
      <c r="E177" s="362" t="s">
        <v>315</v>
      </c>
      <c r="F177" s="362"/>
      <c r="G177" s="291" t="s">
        <v>375</v>
      </c>
      <c r="H177" s="294">
        <v>1</v>
      </c>
      <c r="I177" s="293">
        <f>SUMIF(L:L,$L177,M:M)</f>
        <v>7634.41</v>
      </c>
      <c r="J177" s="293">
        <f t="shared" ref="J177:J190" si="34">TRUNC(H177*I177,2)</f>
        <v>7634.41</v>
      </c>
      <c r="L177" s="113">
        <f t="shared" si="26"/>
        <v>16</v>
      </c>
      <c r="M177" s="85" t="str">
        <f t="shared" si="27"/>
        <v/>
      </c>
      <c r="N177" s="86" t="str">
        <f t="shared" si="28"/>
        <v/>
      </c>
      <c r="O177" s="86" t="str">
        <f t="shared" si="31"/>
        <v/>
      </c>
      <c r="P177" s="87" t="str">
        <f t="shared" si="29"/>
        <v xml:space="preserve"> 2.5.1 </v>
      </c>
      <c r="Q177" s="86">
        <f>IF(P177&lt;&gt;"",SUMIF(L177:L276,L177,N177:N276),"")</f>
        <v>195.06</v>
      </c>
      <c r="R177" s="86">
        <f>IF(P177&lt;&gt;"",SUMIF(L177:L276,L177,O177:O276),"")</f>
        <v>7439.3499999999995</v>
      </c>
    </row>
    <row r="178" spans="1:18" ht="26.4" x14ac:dyDescent="0.25">
      <c r="A178" s="296" t="s">
        <v>22</v>
      </c>
      <c r="B178" s="298" t="s">
        <v>694</v>
      </c>
      <c r="C178" s="296" t="s">
        <v>10</v>
      </c>
      <c r="D178" s="296" t="s">
        <v>695</v>
      </c>
      <c r="E178" s="363" t="s">
        <v>27</v>
      </c>
      <c r="F178" s="363"/>
      <c r="G178" s="297" t="s">
        <v>28</v>
      </c>
      <c r="H178" s="300">
        <v>6</v>
      </c>
      <c r="I178" s="299">
        <f>SUMIFS('ANALÍTICA AUXILIARES'!J:J,'ANALÍTICA AUXILIARES'!A:A,"Composição",'ANALÍTICA AUXILIARES'!B:B,$B178)</f>
        <v>32.51</v>
      </c>
      <c r="J178" s="299">
        <f t="shared" si="34"/>
        <v>195.06</v>
      </c>
      <c r="L178" s="113">
        <f t="shared" si="26"/>
        <v>16</v>
      </c>
      <c r="M178" s="85">
        <f t="shared" si="27"/>
        <v>195.06</v>
      </c>
      <c r="N178" s="86">
        <f t="shared" si="28"/>
        <v>195.06</v>
      </c>
      <c r="O178" s="86" t="str">
        <f t="shared" si="31"/>
        <v/>
      </c>
      <c r="P178" s="87" t="str">
        <f t="shared" si="29"/>
        <v/>
      </c>
      <c r="Q178" s="86" t="str">
        <f>IF(P178&lt;&gt;"",SUMIF(L178:L276,L178,N178:N276),"")</f>
        <v/>
      </c>
      <c r="R178" s="86" t="str">
        <f>IF(P178&lt;&gt;"",SUMIF(L178:L276,L178,O178:O276),"")</f>
        <v/>
      </c>
    </row>
    <row r="179" spans="1:18" ht="26.4" x14ac:dyDescent="0.25">
      <c r="A179" s="296" t="s">
        <v>22</v>
      </c>
      <c r="B179" s="298" t="s">
        <v>696</v>
      </c>
      <c r="C179" s="296" t="s">
        <v>10</v>
      </c>
      <c r="D179" s="296" t="s">
        <v>697</v>
      </c>
      <c r="E179" s="363" t="s">
        <v>315</v>
      </c>
      <c r="F179" s="363"/>
      <c r="G179" s="297" t="s">
        <v>16</v>
      </c>
      <c r="H179" s="300">
        <v>40</v>
      </c>
      <c r="I179" s="299">
        <f>SUMIFS('ANALÍTICA AUXILIARES'!J:J,'ANALÍTICA AUXILIARES'!A:A,"Composição",'ANALÍTICA AUXILIARES'!B:B,$B179)</f>
        <v>28.77</v>
      </c>
      <c r="J179" s="299">
        <f t="shared" si="34"/>
        <v>1150.8</v>
      </c>
      <c r="L179" s="113">
        <f t="shared" si="26"/>
        <v>16</v>
      </c>
      <c r="M179" s="85">
        <f t="shared" si="27"/>
        <v>1150.8</v>
      </c>
      <c r="N179" s="86" t="str">
        <f t="shared" si="28"/>
        <v/>
      </c>
      <c r="O179" s="86">
        <f t="shared" si="31"/>
        <v>1150.8</v>
      </c>
      <c r="P179" s="87" t="str">
        <f t="shared" si="29"/>
        <v/>
      </c>
      <c r="Q179" s="86" t="str">
        <f>IF(P179&lt;&gt;"",SUMIF(L179:L276,L179,N179:N276),"")</f>
        <v/>
      </c>
      <c r="R179" s="86" t="str">
        <f>IF(P179&lt;&gt;"",SUMIF(L179:L276,L179,O179:O276),"")</f>
        <v/>
      </c>
    </row>
    <row r="180" spans="1:18" ht="26.4" x14ac:dyDescent="0.25">
      <c r="A180" s="296" t="s">
        <v>22</v>
      </c>
      <c r="B180" s="298" t="s">
        <v>698</v>
      </c>
      <c r="C180" s="296" t="s">
        <v>10</v>
      </c>
      <c r="D180" s="296" t="s">
        <v>699</v>
      </c>
      <c r="E180" s="363" t="s">
        <v>315</v>
      </c>
      <c r="F180" s="363"/>
      <c r="G180" s="297" t="s">
        <v>16</v>
      </c>
      <c r="H180" s="300">
        <v>10</v>
      </c>
      <c r="I180" s="299">
        <f>SUMIFS('ANALÍTICA AUXILIARES'!J:J,'ANALÍTICA AUXILIARES'!A:A,"Composição",'ANALÍTICA AUXILIARES'!B:B,$B180)</f>
        <v>17.86</v>
      </c>
      <c r="J180" s="299">
        <f t="shared" si="34"/>
        <v>178.6</v>
      </c>
      <c r="L180" s="113">
        <f t="shared" si="26"/>
        <v>16</v>
      </c>
      <c r="M180" s="85">
        <f t="shared" si="27"/>
        <v>178.6</v>
      </c>
      <c r="N180" s="86" t="str">
        <f t="shared" si="28"/>
        <v/>
      </c>
      <c r="O180" s="86">
        <f t="shared" si="31"/>
        <v>178.6</v>
      </c>
      <c r="P180" s="87" t="str">
        <f t="shared" si="29"/>
        <v/>
      </c>
      <c r="Q180" s="86" t="str">
        <f>IF(P180&lt;&gt;"",SUMIF(L180:L276,L180,N180:N276),"")</f>
        <v/>
      </c>
      <c r="R180" s="86" t="str">
        <f>IF(P180&lt;&gt;"",SUMIF(L180:L276,L180,O180:O276),"")</f>
        <v/>
      </c>
    </row>
    <row r="181" spans="1:18" ht="26.4" customHeight="1" x14ac:dyDescent="0.25">
      <c r="A181" s="301" t="s">
        <v>31</v>
      </c>
      <c r="B181" s="303" t="s">
        <v>392</v>
      </c>
      <c r="C181" s="301" t="str">
        <f>VLOOKUP(B181,INSUMOS!$A:$I,2,FALSE)</f>
        <v>SINAPI</v>
      </c>
      <c r="D181" s="301" t="str">
        <f>VLOOKUP(B181,INSUMOS!$A:$I,3,FALSE)</f>
        <v>DISJUNTOR TERMICO E MAGNETICO AJUSTAVEIS, TRIPOLAR DE 100 ATE 250A, CAPACIDADE DE INTERRUPCAO DE 35KA</v>
      </c>
      <c r="E181" s="361" t="str">
        <f>VLOOKUP(B181,INSUMOS!$A:$I,4,FALSE)</f>
        <v>Material</v>
      </c>
      <c r="F181" s="361"/>
      <c r="G181" s="302" t="str">
        <f>VLOOKUP(B181,INSUMOS!$A:$I,5,FALSE)</f>
        <v>UN</v>
      </c>
      <c r="H181" s="305">
        <v>2</v>
      </c>
      <c r="I181" s="304">
        <f>VLOOKUP(B181,INSUMOS!$A:$I,8,FALSE)</f>
        <v>1296.8699999999999</v>
      </c>
      <c r="J181" s="304">
        <f t="shared" si="34"/>
        <v>2593.7399999999998</v>
      </c>
      <c r="L181" s="113">
        <f t="shared" si="26"/>
        <v>16</v>
      </c>
      <c r="M181" s="85">
        <f t="shared" si="27"/>
        <v>2593.7399999999998</v>
      </c>
      <c r="N181" s="86" t="str">
        <f t="shared" si="28"/>
        <v/>
      </c>
      <c r="O181" s="86">
        <f t="shared" si="31"/>
        <v>2593.7399999999998</v>
      </c>
      <c r="P181" s="87" t="str">
        <f t="shared" si="29"/>
        <v/>
      </c>
      <c r="Q181" s="86" t="str">
        <f>IF(P181&lt;&gt;"",SUMIF(L181:L276,L181,N181:N276),"")</f>
        <v/>
      </c>
      <c r="R181" s="86" t="str">
        <f>IF(P181&lt;&gt;"",SUMIF(L181:L276,L181,O181:O276),"")</f>
        <v/>
      </c>
    </row>
    <row r="182" spans="1:18" ht="38.25" customHeight="1" x14ac:dyDescent="0.25">
      <c r="A182" s="301" t="s">
        <v>31</v>
      </c>
      <c r="B182" s="303" t="s">
        <v>408</v>
      </c>
      <c r="C182" s="301" t="str">
        <f>VLOOKUP(B182,INSUMOS!$A:$I,2,FALSE)</f>
        <v>SINAPI</v>
      </c>
      <c r="D182" s="301" t="str">
        <f>VLOOKUP(B182,INSUMOS!$A:$I,3,FALSE)</f>
        <v>QUADRO DE DISTRIBUICAO COM BARRAMENTO TRIFASICO, DE EMBUTIR, EM CHAPA DE ACO GALVANIZADO, PARA 30 DISJUNTORES DIN, 225 A</v>
      </c>
      <c r="E182" s="361" t="str">
        <f>VLOOKUP(B182,INSUMOS!$A:$I,4,FALSE)</f>
        <v>Material</v>
      </c>
      <c r="F182" s="361"/>
      <c r="G182" s="302" t="str">
        <f>VLOOKUP(B182,INSUMOS!$A:$I,5,FALSE)</f>
        <v>UN</v>
      </c>
      <c r="H182" s="305">
        <v>1</v>
      </c>
      <c r="I182" s="304">
        <f>VLOOKUP(B182,INSUMOS!$A:$I,8,FALSE)</f>
        <v>1550.87</v>
      </c>
      <c r="J182" s="304">
        <f t="shared" si="34"/>
        <v>1550.87</v>
      </c>
      <c r="L182" s="113">
        <f t="shared" si="26"/>
        <v>16</v>
      </c>
      <c r="M182" s="85">
        <f t="shared" si="27"/>
        <v>1550.87</v>
      </c>
      <c r="N182" s="86" t="str">
        <f t="shared" si="28"/>
        <v/>
      </c>
      <c r="O182" s="86">
        <f t="shared" si="31"/>
        <v>1550.87</v>
      </c>
      <c r="P182" s="87" t="str">
        <f t="shared" si="29"/>
        <v/>
      </c>
      <c r="Q182" s="86" t="str">
        <f>IF(P182&lt;&gt;"",SUMIF(L182:L276,L182,N182:N276),"")</f>
        <v/>
      </c>
      <c r="R182" s="86" t="str">
        <f>IF(P182&lt;&gt;"",SUMIF(L182:L276,L182,O182:O276),"")</f>
        <v/>
      </c>
    </row>
    <row r="183" spans="1:18" ht="38.25" customHeight="1" x14ac:dyDescent="0.25">
      <c r="A183" s="301" t="s">
        <v>31</v>
      </c>
      <c r="B183" s="303" t="s">
        <v>443</v>
      </c>
      <c r="C183" s="301" t="str">
        <f>VLOOKUP(B183,INSUMOS!$A:$I,2,FALSE)</f>
        <v>SINAPI</v>
      </c>
      <c r="D183" s="301" t="str">
        <f>VLOOKUP(B183,INSUMOS!$A:$I,3,FALSE)</f>
        <v>DISPOSITIVO DPS CLASSE II, 1 POLO, TENSAO MAXIMA DE 275 V, CORRENTE MAXIMA DE *45* KA (TIPO AC)</v>
      </c>
      <c r="E183" s="361" t="str">
        <f>VLOOKUP(B183,INSUMOS!$A:$I,4,FALSE)</f>
        <v>Material</v>
      </c>
      <c r="F183" s="361"/>
      <c r="G183" s="302" t="str">
        <f>VLOOKUP(B183,INSUMOS!$A:$I,5,FALSE)</f>
        <v>UN</v>
      </c>
      <c r="H183" s="305">
        <v>4</v>
      </c>
      <c r="I183" s="304">
        <f>VLOOKUP(B183,INSUMOS!$A:$I,8,FALSE)</f>
        <v>114.66</v>
      </c>
      <c r="J183" s="304">
        <f t="shared" si="34"/>
        <v>458.64</v>
      </c>
      <c r="L183" s="113">
        <f t="shared" si="26"/>
        <v>16</v>
      </c>
      <c r="M183" s="85">
        <f t="shared" si="27"/>
        <v>458.64</v>
      </c>
      <c r="N183" s="86" t="str">
        <f t="shared" si="28"/>
        <v/>
      </c>
      <c r="O183" s="86">
        <f t="shared" si="31"/>
        <v>458.64</v>
      </c>
      <c r="P183" s="87" t="str">
        <f t="shared" si="29"/>
        <v/>
      </c>
      <c r="Q183" s="86" t="str">
        <f>IF(P183&lt;&gt;"",SUMIF(L183:L276,L183,N183:N276),"")</f>
        <v/>
      </c>
      <c r="R183" s="86" t="str">
        <f>IF(P183&lt;&gt;"",SUMIF(L183:L276,L183,O183:O276),"")</f>
        <v/>
      </c>
    </row>
    <row r="184" spans="1:18" ht="38.25" customHeight="1" x14ac:dyDescent="0.25">
      <c r="A184" s="301" t="s">
        <v>31</v>
      </c>
      <c r="B184" s="303" t="s">
        <v>534</v>
      </c>
      <c r="C184" s="301" t="str">
        <f>VLOOKUP(B184,INSUMOS!$A:$I,2,FALSE)</f>
        <v>SINAPI</v>
      </c>
      <c r="D184" s="301" t="str">
        <f>VLOOKUP(B184,INSUMOS!$A:$I,3,FALSE)</f>
        <v>DISJUNTOR TIPO DIN/IEC, MONOPOLAR DE 6  ATE  32A</v>
      </c>
      <c r="E184" s="361" t="str">
        <f>VLOOKUP(B184,INSUMOS!$A:$I,4,FALSE)</f>
        <v>Material</v>
      </c>
      <c r="F184" s="361"/>
      <c r="G184" s="302" t="str">
        <f>VLOOKUP(B184,INSUMOS!$A:$I,5,FALSE)</f>
        <v>UN</v>
      </c>
      <c r="H184" s="305">
        <v>4</v>
      </c>
      <c r="I184" s="304">
        <f>VLOOKUP(B184,INSUMOS!$A:$I,8,FALSE)</f>
        <v>9.9600000000000009</v>
      </c>
      <c r="J184" s="304">
        <f t="shared" si="34"/>
        <v>39.840000000000003</v>
      </c>
      <c r="L184" s="113">
        <f t="shared" si="26"/>
        <v>16</v>
      </c>
      <c r="M184" s="85">
        <f t="shared" si="27"/>
        <v>39.840000000000003</v>
      </c>
      <c r="N184" s="86" t="str">
        <f t="shared" si="28"/>
        <v/>
      </c>
      <c r="O184" s="86">
        <f t="shared" si="31"/>
        <v>39.840000000000003</v>
      </c>
      <c r="P184" s="87" t="str">
        <f t="shared" si="29"/>
        <v/>
      </c>
      <c r="Q184" s="86" t="str">
        <f>IF(P184&lt;&gt;"",SUMIF(L184:L276,L184,N184:N276),"")</f>
        <v/>
      </c>
      <c r="R184" s="86" t="str">
        <f>IF(P184&lt;&gt;"",SUMIF(L184:L276,L184,O184:O276),"")</f>
        <v/>
      </c>
    </row>
    <row r="185" spans="1:18" ht="26.4" customHeight="1" x14ac:dyDescent="0.25">
      <c r="A185" s="301" t="s">
        <v>31</v>
      </c>
      <c r="B185" s="303" t="s">
        <v>480</v>
      </c>
      <c r="C185" s="301" t="str">
        <f>VLOOKUP(B185,INSUMOS!$A:$I,2,FALSE)</f>
        <v>SINAPI</v>
      </c>
      <c r="D185" s="301" t="str">
        <f>VLOOKUP(B185,INSUMOS!$A:$I,3,FALSE)</f>
        <v>DISJUNTOR TIPO DIN/IEC, TRIPOLAR 63 A</v>
      </c>
      <c r="E185" s="361" t="str">
        <f>VLOOKUP(B185,INSUMOS!$A:$I,4,FALSE)</f>
        <v>Material</v>
      </c>
      <c r="F185" s="361"/>
      <c r="G185" s="302" t="str">
        <f>VLOOKUP(B185,INSUMOS!$A:$I,5,FALSE)</f>
        <v>UN</v>
      </c>
      <c r="H185" s="305">
        <v>2</v>
      </c>
      <c r="I185" s="304">
        <f>VLOOKUP(B185,INSUMOS!$A:$I,8,FALSE)</f>
        <v>83.54</v>
      </c>
      <c r="J185" s="304">
        <f t="shared" si="34"/>
        <v>167.08</v>
      </c>
      <c r="L185" s="113">
        <f t="shared" si="26"/>
        <v>16</v>
      </c>
      <c r="M185" s="85">
        <f t="shared" si="27"/>
        <v>167.08</v>
      </c>
      <c r="N185" s="86" t="str">
        <f t="shared" si="28"/>
        <v/>
      </c>
      <c r="O185" s="86">
        <f t="shared" si="31"/>
        <v>167.08</v>
      </c>
      <c r="P185" s="87" t="str">
        <f t="shared" si="29"/>
        <v/>
      </c>
      <c r="Q185" s="86" t="str">
        <f>IF(P185&lt;&gt;"",SUMIF(L185:L276,L185,N185:N276),"")</f>
        <v/>
      </c>
      <c r="R185" s="86" t="str">
        <f>IF(P185&lt;&gt;"",SUMIF(L185:L276,L185,O185:O276),"")</f>
        <v/>
      </c>
    </row>
    <row r="186" spans="1:18" ht="38.25" customHeight="1" x14ac:dyDescent="0.25">
      <c r="A186" s="301" t="s">
        <v>31</v>
      </c>
      <c r="B186" s="303" t="s">
        <v>422</v>
      </c>
      <c r="C186" s="301" t="str">
        <f>VLOOKUP(B186,INSUMOS!$A:$I,2,FALSE)</f>
        <v>SINAPI</v>
      </c>
      <c r="D186" s="301" t="str">
        <f>VLOOKUP(B186,INSUMOS!$A:$I,3,FALSE)</f>
        <v>CONTATOR TRIPOLAR, CORRENTE DE *65* A, TENSAO NOMINAL DE *500* V, CATEGORIA AC-2 E AC-3</v>
      </c>
      <c r="E186" s="361" t="str">
        <f>VLOOKUP(B186,INSUMOS!$A:$I,4,FALSE)</f>
        <v>Material</v>
      </c>
      <c r="F186" s="361"/>
      <c r="G186" s="302" t="str">
        <f>VLOOKUP(B186,INSUMOS!$A:$I,5,FALSE)</f>
        <v>UN</v>
      </c>
      <c r="H186" s="305">
        <v>2</v>
      </c>
      <c r="I186" s="304">
        <f>VLOOKUP(B186,INSUMOS!$A:$I,8,FALSE)</f>
        <v>615.92999999999995</v>
      </c>
      <c r="J186" s="304">
        <f t="shared" si="34"/>
        <v>1231.8599999999999</v>
      </c>
      <c r="L186" s="113">
        <f t="shared" si="26"/>
        <v>16</v>
      </c>
      <c r="M186" s="85">
        <f t="shared" si="27"/>
        <v>1231.8599999999999</v>
      </c>
      <c r="N186" s="86" t="str">
        <f t="shared" si="28"/>
        <v/>
      </c>
      <c r="O186" s="86">
        <f t="shared" si="31"/>
        <v>1231.8599999999999</v>
      </c>
      <c r="P186" s="87" t="str">
        <f t="shared" si="29"/>
        <v/>
      </c>
      <c r="Q186" s="86" t="str">
        <f>IF(P186&lt;&gt;"",SUMIF(L186:L276,L186,N186:N276),"")</f>
        <v/>
      </c>
      <c r="R186" s="86" t="str">
        <f>IF(P186&lt;&gt;"",SUMIF(L186:L276,L186,O186:O276),"")</f>
        <v/>
      </c>
    </row>
    <row r="187" spans="1:18" ht="13.8" customHeight="1" x14ac:dyDescent="0.25">
      <c r="A187" s="301" t="s">
        <v>31</v>
      </c>
      <c r="B187" s="303" t="s">
        <v>537</v>
      </c>
      <c r="C187" s="301" t="str">
        <f>VLOOKUP(B187,INSUMOS!$A:$I,2,FALSE)</f>
        <v>SINAPI</v>
      </c>
      <c r="D187" s="301" t="str">
        <f>VLOOKUP(B187,INSUMOS!$A:$I,3,FALSE)</f>
        <v>TERMINAL A COMPRESSAO EM COBRE ESTANHADO PARA CABO 50 MM2, 1 FURO E 1 COMPRESSAO, PARA PARAFUSO DE FIXACAO M8</v>
      </c>
      <c r="E187" s="361" t="str">
        <f>VLOOKUP(B187,INSUMOS!$A:$I,4,FALSE)</f>
        <v>Material</v>
      </c>
      <c r="F187" s="361"/>
      <c r="G187" s="302" t="str">
        <f>VLOOKUP(B187,INSUMOS!$A:$I,5,FALSE)</f>
        <v>UN</v>
      </c>
      <c r="H187" s="305">
        <v>8</v>
      </c>
      <c r="I187" s="304">
        <f>VLOOKUP(B187,INSUMOS!$A:$I,8,FALSE)</f>
        <v>4.78</v>
      </c>
      <c r="J187" s="304">
        <f t="shared" si="34"/>
        <v>38.24</v>
      </c>
      <c r="L187" s="113">
        <f t="shared" si="26"/>
        <v>16</v>
      </c>
      <c r="M187" s="85">
        <f t="shared" si="27"/>
        <v>38.24</v>
      </c>
      <c r="N187" s="86" t="str">
        <f t="shared" si="28"/>
        <v/>
      </c>
      <c r="O187" s="86">
        <f t="shared" si="31"/>
        <v>38.24</v>
      </c>
      <c r="P187" s="87" t="str">
        <f t="shared" si="29"/>
        <v/>
      </c>
      <c r="Q187" s="86" t="str">
        <f>IF(P187&lt;&gt;"",SUMIF(L187:L276,L187,N187:N276),"")</f>
        <v/>
      </c>
      <c r="R187" s="86" t="str">
        <f>IF(P187&lt;&gt;"",SUMIF(L187:L276,L187,O187:O276),"")</f>
        <v/>
      </c>
    </row>
    <row r="188" spans="1:18" ht="26.4" x14ac:dyDescent="0.25">
      <c r="A188" s="301" t="s">
        <v>31</v>
      </c>
      <c r="B188" s="303" t="s">
        <v>549</v>
      </c>
      <c r="C188" s="301" t="str">
        <f>VLOOKUP(B188,INSUMOS!$A:$I,2,FALSE)</f>
        <v>SINAPI</v>
      </c>
      <c r="D188" s="301" t="str">
        <f>VLOOKUP(B188,INSUMOS!$A:$I,3,FALSE)</f>
        <v>TERMINAL A COMPRESSAO EM COBRE ESTANHADO PARA CABO 25 MM2, 1 FURO E 1 COMPRESSAO, PARA PARAFUSO DE FIXACAO M8</v>
      </c>
      <c r="E188" s="361" t="str">
        <f>VLOOKUP(B188,INSUMOS!$A:$I,4,FALSE)</f>
        <v>Material</v>
      </c>
      <c r="F188" s="361"/>
      <c r="G188" s="302" t="str">
        <f>VLOOKUP(B188,INSUMOS!$A:$I,5,FALSE)</f>
        <v>UN</v>
      </c>
      <c r="H188" s="305">
        <v>2</v>
      </c>
      <c r="I188" s="304">
        <f>VLOOKUP(B188,INSUMOS!$A:$I,8,FALSE)</f>
        <v>2.44</v>
      </c>
      <c r="J188" s="304">
        <f t="shared" si="34"/>
        <v>4.88</v>
      </c>
      <c r="L188" s="113">
        <f t="shared" si="26"/>
        <v>16</v>
      </c>
      <c r="M188" s="85">
        <f t="shared" si="27"/>
        <v>4.88</v>
      </c>
      <c r="N188" s="86" t="str">
        <f t="shared" si="28"/>
        <v/>
      </c>
      <c r="O188" s="86">
        <f t="shared" si="31"/>
        <v>4.88</v>
      </c>
      <c r="P188" s="87" t="str">
        <f t="shared" si="29"/>
        <v/>
      </c>
      <c r="Q188" s="86" t="str">
        <f>IF(P188&lt;&gt;"",SUMIF(L188:L276,L188,N188:N276),"")</f>
        <v/>
      </c>
      <c r="R188" s="86" t="str">
        <f>IF(P188&lt;&gt;"",SUMIF(L188:L276,L188,O188:O276),"")</f>
        <v/>
      </c>
    </row>
    <row r="189" spans="1:18" ht="26.4" x14ac:dyDescent="0.25">
      <c r="A189" s="301" t="s">
        <v>31</v>
      </c>
      <c r="B189" s="303" t="s">
        <v>549</v>
      </c>
      <c r="C189" s="301" t="str">
        <f>VLOOKUP(B189,INSUMOS!$A:$I,2,FALSE)</f>
        <v>SINAPI</v>
      </c>
      <c r="D189" s="301" t="str">
        <f>VLOOKUP(B189,INSUMOS!$A:$I,3,FALSE)</f>
        <v>TERMINAL A COMPRESSAO EM COBRE ESTANHADO PARA CABO 25 MM2, 1 FURO E 1 COMPRESSAO, PARA PARAFUSO DE FIXACAO M8</v>
      </c>
      <c r="E189" s="361" t="str">
        <f>VLOOKUP(B189,INSUMOS!$A:$I,4,FALSE)</f>
        <v>Material</v>
      </c>
      <c r="F189" s="361"/>
      <c r="G189" s="302" t="str">
        <f>VLOOKUP(B189,INSUMOS!$A:$I,5,FALSE)</f>
        <v>UN</v>
      </c>
      <c r="H189" s="305">
        <v>8</v>
      </c>
      <c r="I189" s="304">
        <f>VLOOKUP(B189,INSUMOS!$A:$I,8,FALSE)</f>
        <v>2.44</v>
      </c>
      <c r="J189" s="304">
        <f t="shared" si="34"/>
        <v>19.52</v>
      </c>
      <c r="L189" s="113">
        <f t="shared" si="26"/>
        <v>16</v>
      </c>
      <c r="M189" s="85">
        <f t="shared" si="27"/>
        <v>19.52</v>
      </c>
      <c r="N189" s="86" t="str">
        <f t="shared" si="28"/>
        <v/>
      </c>
      <c r="O189" s="86">
        <f t="shared" si="31"/>
        <v>19.52</v>
      </c>
      <c r="P189" s="87" t="str">
        <f t="shared" si="29"/>
        <v/>
      </c>
      <c r="Q189" s="86" t="str">
        <f>IF(P189&lt;&gt;"",SUMIF(L189:L276,L189,N189:N276),"")</f>
        <v/>
      </c>
      <c r="R189" s="86" t="str">
        <f>IF(P189&lt;&gt;"",SUMIF(L189:L276,L189,O189:O276),"")</f>
        <v/>
      </c>
    </row>
    <row r="190" spans="1:18" ht="14.25" customHeight="1" x14ac:dyDescent="0.25">
      <c r="A190" s="301" t="s">
        <v>31</v>
      </c>
      <c r="B190" s="303" t="s">
        <v>602</v>
      </c>
      <c r="C190" s="301" t="str">
        <f>VLOOKUP(B190,INSUMOS!$A:$I,2,FALSE)</f>
        <v>SINAPI</v>
      </c>
      <c r="D190" s="301" t="str">
        <f>VLOOKUP(B190,INSUMOS!$A:$I,3,FALSE)</f>
        <v>TERMINAL A COMPRESSAO EM COBRE ESTANHADO PARA CABO 16 MM2, 1 FURO E 1 COMPRESSAO, PARA PARAFUSO DE FIXACAO M6</v>
      </c>
      <c r="E190" s="361" t="str">
        <f>VLOOKUP(B190,INSUMOS!$A:$I,4,FALSE)</f>
        <v>Material</v>
      </c>
      <c r="F190" s="361"/>
      <c r="G190" s="302" t="str">
        <f>VLOOKUP(B190,INSUMOS!$A:$I,5,FALSE)</f>
        <v>UN</v>
      </c>
      <c r="H190" s="305">
        <v>3</v>
      </c>
      <c r="I190" s="304">
        <f>VLOOKUP(B190,INSUMOS!$A:$I,8,FALSE)</f>
        <v>1.76</v>
      </c>
      <c r="J190" s="304">
        <f t="shared" si="34"/>
        <v>5.28</v>
      </c>
      <c r="L190" s="113">
        <f t="shared" si="26"/>
        <v>16</v>
      </c>
      <c r="M190" s="85">
        <f t="shared" si="27"/>
        <v>5.28</v>
      </c>
      <c r="N190" s="86" t="str">
        <f t="shared" si="28"/>
        <v/>
      </c>
      <c r="O190" s="86">
        <f t="shared" si="31"/>
        <v>5.28</v>
      </c>
      <c r="P190" s="87" t="str">
        <f t="shared" si="29"/>
        <v/>
      </c>
      <c r="Q190" s="86" t="str">
        <f>IF(P190&lt;&gt;"",SUMIF(L190:L276,L190,N190:N276),"")</f>
        <v/>
      </c>
      <c r="R190" s="86" t="str">
        <f>IF(P190&lt;&gt;"",SUMIF(L190:L276,L190,O190:O276),"")</f>
        <v/>
      </c>
    </row>
    <row r="191" spans="1:18" x14ac:dyDescent="0.25">
      <c r="A191" s="309"/>
      <c r="B191" s="309"/>
      <c r="C191" s="309"/>
      <c r="D191" s="309"/>
      <c r="E191" s="309"/>
      <c r="F191" s="310"/>
      <c r="G191" s="309"/>
      <c r="H191" s="310"/>
      <c r="I191" s="309"/>
      <c r="J191" s="310"/>
      <c r="L191" s="113">
        <f t="shared" si="26"/>
        <v>16</v>
      </c>
      <c r="M191" s="85" t="str">
        <f t="shared" si="27"/>
        <v/>
      </c>
      <c r="N191" s="86" t="str">
        <f t="shared" si="28"/>
        <v/>
      </c>
      <c r="O191" s="86" t="str">
        <f t="shared" si="31"/>
        <v/>
      </c>
      <c r="P191" s="87" t="str">
        <f t="shared" si="29"/>
        <v/>
      </c>
      <c r="Q191" s="86" t="str">
        <f>IF(P191&lt;&gt;"",SUMIF(L191:L276,L191,N191:N276),"")</f>
        <v/>
      </c>
      <c r="R191" s="86" t="str">
        <f>IF(P191&lt;&gt;"",SUMIF(L191:L276,L191,O191:O276),"")</f>
        <v/>
      </c>
    </row>
    <row r="192" spans="1:18" ht="26.4" customHeight="1" x14ac:dyDescent="0.25">
      <c r="A192" s="309"/>
      <c r="B192" s="309"/>
      <c r="C192" s="309"/>
      <c r="D192" s="309"/>
      <c r="E192" s="309"/>
      <c r="F192" s="310"/>
      <c r="G192" s="309"/>
      <c r="H192" s="350" t="s">
        <v>39</v>
      </c>
      <c r="I192" s="350"/>
      <c r="J192" s="310">
        <f>TRUNC(SUMIF(L:L,$L192,M:M)*(1+$J$9),2)</f>
        <v>9330.77</v>
      </c>
      <c r="L192" s="113">
        <f t="shared" si="26"/>
        <v>16</v>
      </c>
      <c r="M192" s="85" t="str">
        <f t="shared" si="27"/>
        <v/>
      </c>
      <c r="N192" s="86" t="str">
        <f t="shared" si="28"/>
        <v/>
      </c>
      <c r="O192" s="86" t="str">
        <f t="shared" si="31"/>
        <v/>
      </c>
      <c r="P192" s="87" t="str">
        <f t="shared" si="29"/>
        <v/>
      </c>
      <c r="Q192" s="86" t="str">
        <f>IF(P192&lt;&gt;"",SUMIF(L192:L276,L192,N192:N276),"")</f>
        <v/>
      </c>
      <c r="R192" s="86" t="str">
        <f>IF(P192&lt;&gt;"",SUMIF(L192:L276,L192,O192:O276),"")</f>
        <v/>
      </c>
    </row>
    <row r="193" spans="1:18" ht="14.4" thickBot="1" x14ac:dyDescent="0.3">
      <c r="A193" s="306"/>
      <c r="B193" s="306"/>
      <c r="C193" s="306"/>
      <c r="D193" s="306"/>
      <c r="E193" s="306"/>
      <c r="F193" s="306"/>
      <c r="G193" s="306" t="s">
        <v>40</v>
      </c>
      <c r="H193" s="308">
        <v>1</v>
      </c>
      <c r="I193" s="306" t="s">
        <v>41</v>
      </c>
      <c r="J193" s="307">
        <f>TRUNC(J192*H193,2)</f>
        <v>9330.77</v>
      </c>
      <c r="L193" s="113">
        <f t="shared" si="26"/>
        <v>16</v>
      </c>
      <c r="M193" s="85" t="str">
        <f t="shared" si="27"/>
        <v/>
      </c>
      <c r="N193" s="86" t="str">
        <f t="shared" si="28"/>
        <v/>
      </c>
      <c r="O193" s="86" t="str">
        <f t="shared" si="31"/>
        <v/>
      </c>
      <c r="P193" s="87" t="str">
        <f t="shared" si="29"/>
        <v/>
      </c>
      <c r="Q193" s="86" t="str">
        <f>IF(P193&lt;&gt;"",SUMIF(L193:L276,L193,N193:N276),"")</f>
        <v/>
      </c>
      <c r="R193" s="86" t="str">
        <f>IF(P193&lt;&gt;"",SUMIF(L193:L276,L193,O193:O276),"")</f>
        <v/>
      </c>
    </row>
    <row r="194" spans="1:18" ht="14.4" thickTop="1" x14ac:dyDescent="0.2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L194" s="113">
        <f t="shared" si="26"/>
        <v>17</v>
      </c>
      <c r="M194" s="85" t="str">
        <f t="shared" si="27"/>
        <v/>
      </c>
      <c r="N194" s="86" t="str">
        <f t="shared" si="28"/>
        <v/>
      </c>
      <c r="O194" s="86" t="str">
        <f t="shared" si="31"/>
        <v/>
      </c>
      <c r="P194" s="87" t="str">
        <f t="shared" si="29"/>
        <v/>
      </c>
      <c r="Q194" s="86" t="str">
        <f>IF(P194&lt;&gt;"",SUMIF(L194:L276,L194,N194:N276),"")</f>
        <v/>
      </c>
      <c r="R194" s="86" t="str">
        <f>IF(P194&lt;&gt;"",SUMIF(L194:L276,L194,O194:O276),"")</f>
        <v/>
      </c>
    </row>
    <row r="195" spans="1:18" ht="26.4" customHeight="1" x14ac:dyDescent="0.25">
      <c r="A195" s="287" t="s">
        <v>771</v>
      </c>
      <c r="B195" s="287"/>
      <c r="C195" s="287"/>
      <c r="D195" s="287" t="s">
        <v>772</v>
      </c>
      <c r="E195" s="287"/>
      <c r="F195" s="346"/>
      <c r="G195" s="346"/>
      <c r="H195" s="288"/>
      <c r="I195" s="287"/>
      <c r="J195" s="289"/>
      <c r="L195" s="113">
        <f t="shared" si="26"/>
        <v>17</v>
      </c>
      <c r="M195" s="85" t="str">
        <f t="shared" si="27"/>
        <v/>
      </c>
      <c r="N195" s="86" t="str">
        <f t="shared" si="28"/>
        <v/>
      </c>
      <c r="O195" s="86" t="str">
        <f t="shared" si="31"/>
        <v/>
      </c>
      <c r="P195" s="87" t="str">
        <f t="shared" si="29"/>
        <v/>
      </c>
      <c r="Q195" s="86" t="str">
        <f>IF(P195&lt;&gt;"",SUMIF(L195:L276,L195,N195:N276),"")</f>
        <v/>
      </c>
      <c r="R195" s="86" t="str">
        <f>IF(P195&lt;&gt;"",SUMIF(L195:L276,L195,O195:O276),"")</f>
        <v/>
      </c>
    </row>
    <row r="196" spans="1:18" ht="25.5" customHeight="1" x14ac:dyDescent="0.25">
      <c r="A196" s="284" t="s">
        <v>700</v>
      </c>
      <c r="B196" s="286" t="s">
        <v>1</v>
      </c>
      <c r="C196" s="284" t="s">
        <v>2</v>
      </c>
      <c r="D196" s="284" t="s">
        <v>3</v>
      </c>
      <c r="E196" s="347" t="s">
        <v>19</v>
      </c>
      <c r="F196" s="347"/>
      <c r="G196" s="285" t="s">
        <v>4</v>
      </c>
      <c r="H196" s="286" t="s">
        <v>5</v>
      </c>
      <c r="I196" s="286" t="s">
        <v>6</v>
      </c>
      <c r="J196" s="286" t="s">
        <v>7</v>
      </c>
      <c r="L196" s="113">
        <f t="shared" si="26"/>
        <v>17</v>
      </c>
      <c r="M196" s="85" t="str">
        <f t="shared" si="27"/>
        <v/>
      </c>
      <c r="N196" s="86" t="str">
        <f t="shared" si="28"/>
        <v/>
      </c>
      <c r="O196" s="86" t="str">
        <f t="shared" si="31"/>
        <v/>
      </c>
      <c r="P196" s="87" t="str">
        <f t="shared" si="29"/>
        <v/>
      </c>
      <c r="Q196" s="86" t="str">
        <f>IF(P196&lt;&gt;"",SUMIF(L196:L276,L196,N196:N276),"")</f>
        <v/>
      </c>
      <c r="R196" s="86" t="str">
        <f>IF(P196&lt;&gt;"",SUMIF(L196:L276,L196,O196:O276),"")</f>
        <v/>
      </c>
    </row>
    <row r="197" spans="1:18" ht="26.4" x14ac:dyDescent="0.25">
      <c r="A197" s="290" t="s">
        <v>20</v>
      </c>
      <c r="B197" s="292" t="s">
        <v>701</v>
      </c>
      <c r="C197" s="290" t="s">
        <v>13</v>
      </c>
      <c r="D197" s="290" t="s">
        <v>702</v>
      </c>
      <c r="E197" s="362" t="s">
        <v>315</v>
      </c>
      <c r="F197" s="362"/>
      <c r="G197" s="291" t="s">
        <v>690</v>
      </c>
      <c r="H197" s="294">
        <v>1</v>
      </c>
      <c r="I197" s="293">
        <f>SUMIF(L:L,$L197,M:M)</f>
        <v>248.17000000000002</v>
      </c>
      <c r="J197" s="293">
        <f>TRUNC(H197*I197,2)</f>
        <v>248.17</v>
      </c>
      <c r="L197" s="113">
        <f t="shared" si="26"/>
        <v>17</v>
      </c>
      <c r="M197" s="85" t="str">
        <f t="shared" si="27"/>
        <v/>
      </c>
      <c r="N197" s="86" t="str">
        <f t="shared" si="28"/>
        <v/>
      </c>
      <c r="O197" s="86" t="str">
        <f t="shared" si="31"/>
        <v/>
      </c>
      <c r="P197" s="87" t="str">
        <f t="shared" si="29"/>
        <v xml:space="preserve"> 2.6.1 </v>
      </c>
      <c r="Q197" s="86">
        <f>IF(P197&lt;&gt;"",SUMIF(L197:L276,L197,N197:N276),"")</f>
        <v>0</v>
      </c>
      <c r="R197" s="86">
        <f>IF(P197&lt;&gt;"",SUMIF(L197:L276,L197,O197:O276),"")</f>
        <v>248.17000000000002</v>
      </c>
    </row>
    <row r="198" spans="1:18" ht="13.8" customHeight="1" x14ac:dyDescent="0.25">
      <c r="A198" s="296" t="s">
        <v>22</v>
      </c>
      <c r="B198" s="298" t="s">
        <v>703</v>
      </c>
      <c r="C198" s="296" t="s">
        <v>10</v>
      </c>
      <c r="D198" s="296" t="s">
        <v>704</v>
      </c>
      <c r="E198" s="363" t="s">
        <v>315</v>
      </c>
      <c r="F198" s="363"/>
      <c r="G198" s="297" t="s">
        <v>16</v>
      </c>
      <c r="H198" s="300">
        <v>4</v>
      </c>
      <c r="I198" s="299">
        <f>SUMIFS('ANALÍTICA AUXILIARES'!J:J,'ANALÍTICA AUXILIARES'!A:A,"Composição",'ANALÍTICA AUXILIARES'!B:B,$B198)</f>
        <v>54.85</v>
      </c>
      <c r="J198" s="299">
        <f>TRUNC(H198*I198,2)</f>
        <v>219.4</v>
      </c>
      <c r="L198" s="113">
        <f t="shared" si="26"/>
        <v>17</v>
      </c>
      <c r="M198" s="85">
        <f t="shared" si="27"/>
        <v>219.4</v>
      </c>
      <c r="N198" s="86" t="str">
        <f t="shared" si="28"/>
        <v/>
      </c>
      <c r="O198" s="86">
        <f t="shared" si="31"/>
        <v>219.4</v>
      </c>
      <c r="P198" s="87" t="str">
        <f t="shared" si="29"/>
        <v/>
      </c>
      <c r="Q198" s="86" t="str">
        <f>IF(P198&lt;&gt;"",SUMIF(L198:L276,L198,N198:N276),"")</f>
        <v/>
      </c>
      <c r="R198" s="86" t="str">
        <f>IF(P198&lt;&gt;"",SUMIF(L198:L276,L198,O198:O276),"")</f>
        <v/>
      </c>
    </row>
    <row r="199" spans="1:18" ht="26.4" x14ac:dyDescent="0.25">
      <c r="A199" s="296" t="s">
        <v>22</v>
      </c>
      <c r="B199" s="298" t="s">
        <v>696</v>
      </c>
      <c r="C199" s="296" t="s">
        <v>10</v>
      </c>
      <c r="D199" s="296" t="s">
        <v>697</v>
      </c>
      <c r="E199" s="363" t="s">
        <v>315</v>
      </c>
      <c r="F199" s="363"/>
      <c r="G199" s="297" t="s">
        <v>16</v>
      </c>
      <c r="H199" s="300">
        <v>1</v>
      </c>
      <c r="I199" s="299">
        <f>SUMIFS('ANALÍTICA AUXILIARES'!J:J,'ANALÍTICA AUXILIARES'!A:A,"Composição",'ANALÍTICA AUXILIARES'!B:B,$B199)</f>
        <v>28.77</v>
      </c>
      <c r="J199" s="299">
        <f>TRUNC(H199*I199,2)</f>
        <v>28.77</v>
      </c>
      <c r="L199" s="113">
        <f t="shared" si="26"/>
        <v>17</v>
      </c>
      <c r="M199" s="85">
        <f t="shared" si="27"/>
        <v>28.77</v>
      </c>
      <c r="N199" s="86" t="str">
        <f t="shared" si="28"/>
        <v/>
      </c>
      <c r="O199" s="86">
        <f t="shared" si="31"/>
        <v>28.77</v>
      </c>
      <c r="P199" s="87" t="str">
        <f t="shared" si="29"/>
        <v/>
      </c>
      <c r="Q199" s="86" t="str">
        <f>IF(P199&lt;&gt;"",SUMIF(L199:L276,L199,N199:N276),"")</f>
        <v/>
      </c>
      <c r="R199" s="86" t="str">
        <f>IF(P199&lt;&gt;"",SUMIF(L199:L276,L199,O199:O276),"")</f>
        <v/>
      </c>
    </row>
    <row r="200" spans="1:18" x14ac:dyDescent="0.25">
      <c r="A200" s="309"/>
      <c r="B200" s="309"/>
      <c r="C200" s="309"/>
      <c r="D200" s="309"/>
      <c r="E200" s="309"/>
      <c r="F200" s="310"/>
      <c r="G200" s="309"/>
      <c r="H200" s="310"/>
      <c r="I200" s="309"/>
      <c r="J200" s="310"/>
      <c r="L200" s="113">
        <f t="shared" si="26"/>
        <v>17</v>
      </c>
      <c r="M200" s="85" t="str">
        <f t="shared" si="27"/>
        <v/>
      </c>
      <c r="N200" s="86" t="str">
        <f t="shared" si="28"/>
        <v/>
      </c>
      <c r="O200" s="86" t="str">
        <f t="shared" si="31"/>
        <v/>
      </c>
      <c r="P200" s="87" t="str">
        <f t="shared" si="29"/>
        <v/>
      </c>
      <c r="Q200" s="86" t="str">
        <f>IF(P200&lt;&gt;"",SUMIF(L200:L276,L200,N200:N276),"")</f>
        <v/>
      </c>
      <c r="R200" s="86" t="str">
        <f>IF(P200&lt;&gt;"",SUMIF(L200:L276,L200,O200:O276),"")</f>
        <v/>
      </c>
    </row>
    <row r="201" spans="1:18" ht="14.25" customHeight="1" x14ac:dyDescent="0.25">
      <c r="A201" s="309"/>
      <c r="B201" s="309"/>
      <c r="C201" s="309"/>
      <c r="D201" s="309"/>
      <c r="E201" s="309"/>
      <c r="F201" s="310"/>
      <c r="G201" s="309"/>
      <c r="H201" s="350" t="s">
        <v>39</v>
      </c>
      <c r="I201" s="350"/>
      <c r="J201" s="310">
        <f>TRUNC(SUMIF(L:L,$L201,M:M)*(1+$J$9),2)</f>
        <v>303.31</v>
      </c>
      <c r="L201" s="113">
        <f t="shared" si="26"/>
        <v>17</v>
      </c>
      <c r="M201" s="85" t="str">
        <f t="shared" si="27"/>
        <v/>
      </c>
      <c r="N201" s="86" t="str">
        <f t="shared" si="28"/>
        <v/>
      </c>
      <c r="O201" s="86" t="str">
        <f t="shared" si="31"/>
        <v/>
      </c>
      <c r="P201" s="87" t="str">
        <f t="shared" si="29"/>
        <v/>
      </c>
      <c r="Q201" s="86" t="str">
        <f>IF(P201&lt;&gt;"",SUMIF(L201:L276,L201,N201:N276),"")</f>
        <v/>
      </c>
      <c r="R201" s="86" t="str">
        <f>IF(P201&lt;&gt;"",SUMIF(L201:L276,L201,O201:O276),"")</f>
        <v/>
      </c>
    </row>
    <row r="202" spans="1:18" ht="14.4" thickBot="1" x14ac:dyDescent="0.3">
      <c r="A202" s="306"/>
      <c r="B202" s="306"/>
      <c r="C202" s="306"/>
      <c r="D202" s="306"/>
      <c r="E202" s="306"/>
      <c r="F202" s="306"/>
      <c r="G202" s="306" t="s">
        <v>40</v>
      </c>
      <c r="H202" s="308">
        <v>9</v>
      </c>
      <c r="I202" s="306" t="s">
        <v>41</v>
      </c>
      <c r="J202" s="307">
        <f>TRUNC(J201*H202,2)</f>
        <v>2729.79</v>
      </c>
      <c r="L202" s="113">
        <f t="shared" si="26"/>
        <v>17</v>
      </c>
      <c r="M202" s="85" t="str">
        <f t="shared" si="27"/>
        <v/>
      </c>
      <c r="N202" s="86" t="str">
        <f t="shared" si="28"/>
        <v/>
      </c>
      <c r="O202" s="86" t="str">
        <f t="shared" si="31"/>
        <v/>
      </c>
      <c r="P202" s="87" t="str">
        <f t="shared" si="29"/>
        <v/>
      </c>
      <c r="Q202" s="86" t="str">
        <f>IF(P202&lt;&gt;"",SUMIF(L202:L276,L202,N202:N276),"")</f>
        <v/>
      </c>
      <c r="R202" s="86" t="str">
        <f>IF(P202&lt;&gt;"",SUMIF(L202:L276,L202,O202:O276),"")</f>
        <v/>
      </c>
    </row>
    <row r="203" spans="1:18" ht="26.4" customHeight="1" thickTop="1" x14ac:dyDescent="0.2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L203" s="113">
        <f t="shared" si="26"/>
        <v>18</v>
      </c>
      <c r="M203" s="85" t="str">
        <f t="shared" si="27"/>
        <v/>
      </c>
      <c r="N203" s="86" t="str">
        <f t="shared" si="28"/>
        <v/>
      </c>
      <c r="O203" s="86" t="str">
        <f t="shared" si="31"/>
        <v/>
      </c>
      <c r="P203" s="87" t="str">
        <f t="shared" si="29"/>
        <v/>
      </c>
      <c r="Q203" s="86" t="str">
        <f>IF(P203&lt;&gt;"",SUMIF(L203:L276,L203,N203:N276),"")</f>
        <v/>
      </c>
      <c r="R203" s="86" t="str">
        <f>IF(P203&lt;&gt;"",SUMIF(L203:L276,L203,O203:O276),"")</f>
        <v/>
      </c>
    </row>
    <row r="204" spans="1:18" x14ac:dyDescent="0.25">
      <c r="A204" s="287" t="s">
        <v>773</v>
      </c>
      <c r="B204" s="287"/>
      <c r="C204" s="287"/>
      <c r="D204" s="287" t="s">
        <v>774</v>
      </c>
      <c r="E204" s="287"/>
      <c r="F204" s="346"/>
      <c r="G204" s="346"/>
      <c r="H204" s="288"/>
      <c r="I204" s="287"/>
      <c r="J204" s="289"/>
      <c r="L204" s="113">
        <f t="shared" si="26"/>
        <v>18</v>
      </c>
      <c r="M204" s="85" t="str">
        <f t="shared" si="27"/>
        <v/>
      </c>
      <c r="N204" s="86" t="str">
        <f t="shared" si="28"/>
        <v/>
      </c>
      <c r="O204" s="86" t="str">
        <f t="shared" si="31"/>
        <v/>
      </c>
      <c r="P204" s="87" t="str">
        <f t="shared" si="29"/>
        <v/>
      </c>
      <c r="Q204" s="86" t="str">
        <f>IF(P204&lt;&gt;"",SUMIF(L204:L276,L204,N204:N276),"")</f>
        <v/>
      </c>
      <c r="R204" s="86" t="str">
        <f>IF(P204&lt;&gt;"",SUMIF(L204:L276,L204,O204:O276),"")</f>
        <v/>
      </c>
    </row>
    <row r="205" spans="1:18" x14ac:dyDescent="0.25">
      <c r="A205" s="284" t="s">
        <v>705</v>
      </c>
      <c r="B205" s="286" t="s">
        <v>1</v>
      </c>
      <c r="C205" s="284" t="s">
        <v>2</v>
      </c>
      <c r="D205" s="284" t="s">
        <v>3</v>
      </c>
      <c r="E205" s="347" t="s">
        <v>19</v>
      </c>
      <c r="F205" s="347"/>
      <c r="G205" s="285" t="s">
        <v>4</v>
      </c>
      <c r="H205" s="286" t="s">
        <v>5</v>
      </c>
      <c r="I205" s="286" t="s">
        <v>6</v>
      </c>
      <c r="J205" s="286" t="s">
        <v>7</v>
      </c>
      <c r="L205" s="113">
        <f t="shared" si="26"/>
        <v>18</v>
      </c>
      <c r="M205" s="85" t="str">
        <f t="shared" si="27"/>
        <v/>
      </c>
      <c r="N205" s="86" t="str">
        <f t="shared" si="28"/>
        <v/>
      </c>
      <c r="O205" s="86" t="str">
        <f t="shared" si="31"/>
        <v/>
      </c>
      <c r="P205" s="87" t="str">
        <f t="shared" si="29"/>
        <v/>
      </c>
      <c r="Q205" s="86" t="str">
        <f>IF(P205&lt;&gt;"",SUMIF(L205:L276,L205,N205:N276),"")</f>
        <v/>
      </c>
      <c r="R205" s="86" t="str">
        <f>IF(P205&lt;&gt;"",SUMIF(L205:L276,L205,O205:O276),"")</f>
        <v/>
      </c>
    </row>
    <row r="206" spans="1:18" ht="25.5" customHeight="1" x14ac:dyDescent="0.25">
      <c r="A206" s="290" t="s">
        <v>20</v>
      </c>
      <c r="B206" s="292" t="s">
        <v>706</v>
      </c>
      <c r="C206" s="290" t="s">
        <v>13</v>
      </c>
      <c r="D206" s="290" t="s">
        <v>707</v>
      </c>
      <c r="E206" s="362" t="s">
        <v>315</v>
      </c>
      <c r="F206" s="362"/>
      <c r="G206" s="291" t="s">
        <v>690</v>
      </c>
      <c r="H206" s="294">
        <v>1</v>
      </c>
      <c r="I206" s="293">
        <f>SUMIF(L:L,$L206,M:M)</f>
        <v>10.36</v>
      </c>
      <c r="J206" s="293">
        <f>TRUNC(H206*I206,2)</f>
        <v>10.36</v>
      </c>
      <c r="L206" s="113">
        <f t="shared" ref="L206:L269" si="35">IF(AND(A207&lt;&gt;"",A206=""),L205+1,L205)</f>
        <v>18</v>
      </c>
      <c r="M206" s="85" t="str">
        <f t="shared" ref="M206:M269" si="36">IF(OR(A206="Insumo",A206="Composição Auxiliar"),J206,"")</f>
        <v/>
      </c>
      <c r="N206" s="86" t="str">
        <f t="shared" ref="N206:N269" si="37">IF(ISNUMBER(SEARCH("COM ENCARGOS COMPLEMENTARES",D206)),J206,"")</f>
        <v/>
      </c>
      <c r="O206" s="86" t="str">
        <f t="shared" si="31"/>
        <v/>
      </c>
      <c r="P206" s="87" t="str">
        <f t="shared" ref="P206:P269" si="38">IF(A206="Composição",A205,"")</f>
        <v xml:space="preserve"> 2.7.1 </v>
      </c>
      <c r="Q206" s="86">
        <f>IF(P206&lt;&gt;"",SUMIF(L206:L276,L206,N206:N276),"")</f>
        <v>0.55000000000000004</v>
      </c>
      <c r="R206" s="86">
        <f>IF(P206&lt;&gt;"",SUMIF(L206:L276,L206,O206:O276),"")</f>
        <v>9.8099999999999987</v>
      </c>
    </row>
    <row r="207" spans="1:18" ht="25.5" customHeight="1" x14ac:dyDescent="0.25">
      <c r="A207" s="296" t="s">
        <v>22</v>
      </c>
      <c r="B207" s="298" t="s">
        <v>298</v>
      </c>
      <c r="C207" s="296" t="s">
        <v>10</v>
      </c>
      <c r="D207" s="296" t="s">
        <v>299</v>
      </c>
      <c r="E207" s="363" t="s">
        <v>27</v>
      </c>
      <c r="F207" s="363"/>
      <c r="G207" s="297" t="s">
        <v>28</v>
      </c>
      <c r="H207" s="300">
        <v>1.2999999999999999E-2</v>
      </c>
      <c r="I207" s="299">
        <f>SUMIFS('ANALÍTICA AUXILIARES'!J:J,'ANALÍTICA AUXILIARES'!A:A,"Composição",'ANALÍTICA AUXILIARES'!B:B,$B207)</f>
        <v>18.739999999999998</v>
      </c>
      <c r="J207" s="299">
        <f>TRUNC(H207*I207,2)</f>
        <v>0.24</v>
      </c>
      <c r="L207" s="113">
        <f t="shared" si="35"/>
        <v>18</v>
      </c>
      <c r="M207" s="85">
        <f t="shared" si="36"/>
        <v>0.24</v>
      </c>
      <c r="N207" s="86">
        <f t="shared" si="37"/>
        <v>0.24</v>
      </c>
      <c r="O207" s="86" t="str">
        <f t="shared" si="31"/>
        <v/>
      </c>
      <c r="P207" s="87" t="str">
        <f t="shared" si="38"/>
        <v/>
      </c>
      <c r="Q207" s="86" t="str">
        <f>IF(P207&lt;&gt;"",SUMIF(L207:L276,L207,N207:N276),"")</f>
        <v/>
      </c>
      <c r="R207" s="86" t="str">
        <f>IF(P207&lt;&gt;"",SUMIF(L207:L276,L207,O207:O276),"")</f>
        <v/>
      </c>
    </row>
    <row r="208" spans="1:18" ht="26.4" x14ac:dyDescent="0.25">
      <c r="A208" s="296" t="s">
        <v>22</v>
      </c>
      <c r="B208" s="298" t="s">
        <v>313</v>
      </c>
      <c r="C208" s="296" t="s">
        <v>10</v>
      </c>
      <c r="D208" s="296" t="s">
        <v>314</v>
      </c>
      <c r="E208" s="363" t="s">
        <v>27</v>
      </c>
      <c r="F208" s="363"/>
      <c r="G208" s="297" t="s">
        <v>28</v>
      </c>
      <c r="H208" s="300">
        <v>1.2999999999999999E-2</v>
      </c>
      <c r="I208" s="299">
        <f>SUMIFS('ANALÍTICA AUXILIARES'!J:J,'ANALÍTICA AUXILIARES'!A:A,"Composição",'ANALÍTICA AUXILIARES'!B:B,$B208)</f>
        <v>24.1</v>
      </c>
      <c r="J208" s="299">
        <f>TRUNC(H208*I208,2)</f>
        <v>0.31</v>
      </c>
      <c r="L208" s="113">
        <f t="shared" si="35"/>
        <v>18</v>
      </c>
      <c r="M208" s="85">
        <f t="shared" si="36"/>
        <v>0.31</v>
      </c>
      <c r="N208" s="86">
        <f t="shared" si="37"/>
        <v>0.31</v>
      </c>
      <c r="O208" s="86" t="str">
        <f t="shared" si="31"/>
        <v/>
      </c>
      <c r="P208" s="87" t="str">
        <f t="shared" si="38"/>
        <v/>
      </c>
      <c r="Q208" s="86" t="str">
        <f>IF(P208&lt;&gt;"",SUMIF(L208:L276,L208,N208:N276),"")</f>
        <v/>
      </c>
      <c r="R208" s="86" t="str">
        <f>IF(P208&lt;&gt;"",SUMIF(L208:L276,L208,O208:O276),"")</f>
        <v/>
      </c>
    </row>
    <row r="209" spans="1:18" ht="13.8" customHeight="1" x14ac:dyDescent="0.25">
      <c r="A209" s="301" t="s">
        <v>31</v>
      </c>
      <c r="B209" s="303" t="s">
        <v>325</v>
      </c>
      <c r="C209" s="301" t="str">
        <f>VLOOKUP(B209,INSUMOS!$A:$I,2,FALSE)</f>
        <v>SINAPI</v>
      </c>
      <c r="D209" s="301" t="str">
        <f>VLOOKUP(B209,INSUMOS!$A:$I,3,FALSE)</f>
        <v>CABO MULTIPOLAR DE COBRE, FLEXIVEL, CLASSE 4 OU 5, ISOLACAO EM HEPR, COBERTURA EM PVC-ST2, ANTICHAMA BWF-B, 0,6/1 KV, 3 CONDUTORES DE 2,5 MM2</v>
      </c>
      <c r="E209" s="361" t="str">
        <f>VLOOKUP(B209,INSUMOS!$A:$I,4,FALSE)</f>
        <v>Material</v>
      </c>
      <c r="F209" s="361"/>
      <c r="G209" s="302" t="str">
        <f>VLOOKUP(B209,INSUMOS!$A:$I,5,FALSE)</f>
        <v>M</v>
      </c>
      <c r="H209" s="305">
        <v>1.0269999999999999</v>
      </c>
      <c r="I209" s="304">
        <f>VLOOKUP(B209,INSUMOS!$A:$I,8,FALSE)</f>
        <v>9.5299999999999994</v>
      </c>
      <c r="J209" s="304">
        <f>TRUNC(H209*I209,2)</f>
        <v>9.7799999999999994</v>
      </c>
      <c r="L209" s="113">
        <f t="shared" si="35"/>
        <v>18</v>
      </c>
      <c r="M209" s="85">
        <f t="shared" si="36"/>
        <v>9.7799999999999994</v>
      </c>
      <c r="N209" s="86" t="str">
        <f t="shared" si="37"/>
        <v/>
      </c>
      <c r="O209" s="86">
        <f t="shared" si="31"/>
        <v>9.7799999999999994</v>
      </c>
      <c r="P209" s="87" t="str">
        <f t="shared" si="38"/>
        <v/>
      </c>
      <c r="Q209" s="86" t="str">
        <f>IF(P209&lt;&gt;"",SUMIF(L209:L276,L209,N209:N276),"")</f>
        <v/>
      </c>
      <c r="R209" s="86" t="str">
        <f>IF(P209&lt;&gt;"",SUMIF(L209:L276,L209,O209:O276),"")</f>
        <v/>
      </c>
    </row>
    <row r="210" spans="1:18" ht="26.4" x14ac:dyDescent="0.25">
      <c r="A210" s="301" t="s">
        <v>31</v>
      </c>
      <c r="B210" s="303" t="s">
        <v>285</v>
      </c>
      <c r="C210" s="301" t="str">
        <f>VLOOKUP(B210,INSUMOS!$A:$I,2,FALSE)</f>
        <v>SINAPI</v>
      </c>
      <c r="D210" s="301" t="str">
        <f>VLOOKUP(B210,INSUMOS!$A:$I,3,FALSE)</f>
        <v>FITA ISOLANTE ADESIVA ANTICHAMA, USO ATE 750 V, EM ROLO DE 19 MM X 5 M</v>
      </c>
      <c r="E210" s="361" t="str">
        <f>VLOOKUP(B210,INSUMOS!$A:$I,4,FALSE)</f>
        <v>Material</v>
      </c>
      <c r="F210" s="361"/>
      <c r="G210" s="302" t="str">
        <f>VLOOKUP(B210,INSUMOS!$A:$I,5,FALSE)</f>
        <v>UN</v>
      </c>
      <c r="H210" s="305">
        <v>0.01</v>
      </c>
      <c r="I210" s="304">
        <f>VLOOKUP(B210,INSUMOS!$A:$I,8,FALSE)</f>
        <v>3.6</v>
      </c>
      <c r="J210" s="304">
        <f>TRUNC(H210*I210,2)</f>
        <v>0.03</v>
      </c>
      <c r="L210" s="113">
        <f t="shared" si="35"/>
        <v>18</v>
      </c>
      <c r="M210" s="85">
        <f t="shared" si="36"/>
        <v>0.03</v>
      </c>
      <c r="N210" s="86" t="str">
        <f t="shared" si="37"/>
        <v/>
      </c>
      <c r="O210" s="86">
        <f t="shared" si="31"/>
        <v>0.03</v>
      </c>
      <c r="P210" s="87" t="str">
        <f t="shared" si="38"/>
        <v/>
      </c>
      <c r="Q210" s="86" t="str">
        <f>IF(P210&lt;&gt;"",SUMIF(L210:L276,L210,N210:N276),"")</f>
        <v/>
      </c>
      <c r="R210" s="86" t="str">
        <f>IF(P210&lt;&gt;"",SUMIF(L210:L276,L210,O210:O276),"")</f>
        <v/>
      </c>
    </row>
    <row r="211" spans="1:18" ht="14.25" customHeight="1" x14ac:dyDescent="0.25">
      <c r="A211" s="309"/>
      <c r="B211" s="309"/>
      <c r="C211" s="309"/>
      <c r="D211" s="309"/>
      <c r="E211" s="309"/>
      <c r="F211" s="310"/>
      <c r="G211" s="309"/>
      <c r="H211" s="310"/>
      <c r="I211" s="309"/>
      <c r="J211" s="310"/>
      <c r="L211" s="113">
        <f t="shared" si="35"/>
        <v>18</v>
      </c>
      <c r="M211" s="85" t="str">
        <f t="shared" si="36"/>
        <v/>
      </c>
      <c r="N211" s="86" t="str">
        <f t="shared" si="37"/>
        <v/>
      </c>
      <c r="O211" s="86" t="str">
        <f t="shared" si="31"/>
        <v/>
      </c>
      <c r="P211" s="87" t="str">
        <f t="shared" si="38"/>
        <v/>
      </c>
      <c r="Q211" s="86" t="str">
        <f>IF(P211&lt;&gt;"",SUMIF(L211:L276,L211,N211:N276),"")</f>
        <v/>
      </c>
      <c r="R211" s="86" t="str">
        <f>IF(P211&lt;&gt;"",SUMIF(L211:L276,L211,O211:O276),"")</f>
        <v/>
      </c>
    </row>
    <row r="212" spans="1:18" x14ac:dyDescent="0.25">
      <c r="A212" s="309"/>
      <c r="B212" s="309"/>
      <c r="C212" s="309"/>
      <c r="D212" s="309"/>
      <c r="E212" s="309"/>
      <c r="F212" s="310"/>
      <c r="G212" s="309"/>
      <c r="H212" s="350" t="s">
        <v>39</v>
      </c>
      <c r="I212" s="350"/>
      <c r="J212" s="310">
        <f>TRUNC(SUMIF(L:L,$L212,M:M)*(1+$J$9),2)</f>
        <v>12.66</v>
      </c>
      <c r="L212" s="113">
        <f t="shared" si="35"/>
        <v>18</v>
      </c>
      <c r="M212" s="85" t="str">
        <f t="shared" si="36"/>
        <v/>
      </c>
      <c r="N212" s="86" t="str">
        <f t="shared" si="37"/>
        <v/>
      </c>
      <c r="O212" s="86" t="str">
        <f t="shared" si="31"/>
        <v/>
      </c>
      <c r="P212" s="87" t="str">
        <f t="shared" si="38"/>
        <v/>
      </c>
      <c r="Q212" s="86" t="str">
        <f>IF(P212&lt;&gt;"",SUMIF(L212:L276,L212,N212:N276),"")</f>
        <v/>
      </c>
      <c r="R212" s="86" t="str">
        <f>IF(P212&lt;&gt;"",SUMIF(L212:L276,L212,O212:O276),"")</f>
        <v/>
      </c>
    </row>
    <row r="213" spans="1:18" ht="26.4" customHeight="1" thickBot="1" x14ac:dyDescent="0.3">
      <c r="A213" s="306"/>
      <c r="B213" s="306"/>
      <c r="C213" s="306"/>
      <c r="D213" s="306"/>
      <c r="E213" s="306"/>
      <c r="F213" s="306"/>
      <c r="G213" s="306" t="s">
        <v>40</v>
      </c>
      <c r="H213" s="308">
        <v>112</v>
      </c>
      <c r="I213" s="306" t="s">
        <v>41</v>
      </c>
      <c r="J213" s="307">
        <f>TRUNC(J212*H213,2)</f>
        <v>1417.92</v>
      </c>
      <c r="L213" s="113">
        <f t="shared" si="35"/>
        <v>18</v>
      </c>
      <c r="M213" s="85" t="str">
        <f t="shared" si="36"/>
        <v/>
      </c>
      <c r="N213" s="86" t="str">
        <f t="shared" si="37"/>
        <v/>
      </c>
      <c r="O213" s="86" t="str">
        <f t="shared" si="31"/>
        <v/>
      </c>
      <c r="P213" s="87" t="str">
        <f t="shared" si="38"/>
        <v/>
      </c>
      <c r="Q213" s="86" t="str">
        <f>IF(P213&lt;&gt;"",SUMIF(L213:L276,L213,N213:N276),"")</f>
        <v/>
      </c>
      <c r="R213" s="86" t="str">
        <f>IF(P213&lt;&gt;"",SUMIF(L213:L276,L213,O213:O276),"")</f>
        <v/>
      </c>
    </row>
    <row r="214" spans="1:18" ht="14.4" thickTop="1" x14ac:dyDescent="0.2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L214" s="113">
        <f t="shared" si="35"/>
        <v>19</v>
      </c>
      <c r="M214" s="85" t="str">
        <f t="shared" si="36"/>
        <v/>
      </c>
      <c r="N214" s="86" t="str">
        <f t="shared" si="37"/>
        <v/>
      </c>
      <c r="O214" s="86" t="str">
        <f t="shared" si="31"/>
        <v/>
      </c>
      <c r="P214" s="87" t="str">
        <f t="shared" si="38"/>
        <v/>
      </c>
      <c r="Q214" s="86" t="str">
        <f>IF(P214&lt;&gt;"",SUMIF(L214:L276,L214,N214:N276),"")</f>
        <v/>
      </c>
      <c r="R214" s="86" t="str">
        <f>IF(P214&lt;&gt;"",SUMIF(L214:L276,L214,O214:O276),"")</f>
        <v/>
      </c>
    </row>
    <row r="215" spans="1:18" ht="14.25" customHeight="1" x14ac:dyDescent="0.25">
      <c r="A215" s="284" t="s">
        <v>708</v>
      </c>
      <c r="B215" s="286" t="s">
        <v>1</v>
      </c>
      <c r="C215" s="284" t="s">
        <v>2</v>
      </c>
      <c r="D215" s="284" t="s">
        <v>3</v>
      </c>
      <c r="E215" s="347" t="s">
        <v>19</v>
      </c>
      <c r="F215" s="347"/>
      <c r="G215" s="285" t="s">
        <v>4</v>
      </c>
      <c r="H215" s="286" t="s">
        <v>5</v>
      </c>
      <c r="I215" s="286" t="s">
        <v>6</v>
      </c>
      <c r="J215" s="286" t="s">
        <v>7</v>
      </c>
      <c r="L215" s="113">
        <f t="shared" si="35"/>
        <v>19</v>
      </c>
      <c r="M215" s="85" t="str">
        <f t="shared" si="36"/>
        <v/>
      </c>
      <c r="N215" s="86" t="str">
        <f t="shared" si="37"/>
        <v/>
      </c>
      <c r="O215" s="86" t="str">
        <f t="shared" si="31"/>
        <v/>
      </c>
      <c r="P215" s="87" t="str">
        <f t="shared" si="38"/>
        <v/>
      </c>
      <c r="Q215" s="86" t="str">
        <f>IF(P215&lt;&gt;"",SUMIF(L215:L276,L215,N215:N276),"")</f>
        <v/>
      </c>
      <c r="R215" s="86" t="str">
        <f>IF(P215&lt;&gt;"",SUMIF(L215:L276,L215,O215:O276),"")</f>
        <v/>
      </c>
    </row>
    <row r="216" spans="1:18" ht="39.6" customHeight="1" x14ac:dyDescent="0.25">
      <c r="A216" s="290" t="s">
        <v>20</v>
      </c>
      <c r="B216" s="292" t="s">
        <v>709</v>
      </c>
      <c r="C216" s="290" t="s">
        <v>13</v>
      </c>
      <c r="D216" s="290" t="s">
        <v>710</v>
      </c>
      <c r="E216" s="362" t="s">
        <v>315</v>
      </c>
      <c r="F216" s="362"/>
      <c r="G216" s="291" t="s">
        <v>375</v>
      </c>
      <c r="H216" s="294">
        <v>1</v>
      </c>
      <c r="I216" s="293">
        <f>SUMIF(L:L,$L216,M:M)</f>
        <v>207.46000000000004</v>
      </c>
      <c r="J216" s="293">
        <f t="shared" ref="J216:J222" si="39">TRUNC(H216*I216,2)</f>
        <v>207.46</v>
      </c>
      <c r="L216" s="113">
        <f t="shared" si="35"/>
        <v>19</v>
      </c>
      <c r="M216" s="85" t="str">
        <f t="shared" si="36"/>
        <v/>
      </c>
      <c r="N216" s="86" t="str">
        <f t="shared" si="37"/>
        <v/>
      </c>
      <c r="O216" s="86" t="str">
        <f t="shared" si="31"/>
        <v/>
      </c>
      <c r="P216" s="87" t="str">
        <f t="shared" si="38"/>
        <v xml:space="preserve"> 2.7.2 </v>
      </c>
      <c r="Q216" s="86">
        <f>IF(P216&lt;&gt;"",SUMIF(L216:L276,L216,N216:N276),"")</f>
        <v>76.87</v>
      </c>
      <c r="R216" s="86">
        <f>IF(P216&lt;&gt;"",SUMIF(L216:L276,L216,O216:O276),"")</f>
        <v>130.59</v>
      </c>
    </row>
    <row r="217" spans="1:18" ht="39.6" customHeight="1" x14ac:dyDescent="0.25">
      <c r="A217" s="296" t="s">
        <v>22</v>
      </c>
      <c r="B217" s="298" t="s">
        <v>694</v>
      </c>
      <c r="C217" s="296" t="s">
        <v>10</v>
      </c>
      <c r="D217" s="296" t="s">
        <v>695</v>
      </c>
      <c r="E217" s="363" t="s">
        <v>27</v>
      </c>
      <c r="F217" s="363"/>
      <c r="G217" s="297" t="s">
        <v>28</v>
      </c>
      <c r="H217" s="300">
        <v>1.5</v>
      </c>
      <c r="I217" s="299">
        <f>SUMIFS('ANALÍTICA AUXILIARES'!J:J,'ANALÍTICA AUXILIARES'!A:A,"Composição",'ANALÍTICA AUXILIARES'!B:B,$B217)</f>
        <v>32.51</v>
      </c>
      <c r="J217" s="299">
        <f t="shared" si="39"/>
        <v>48.76</v>
      </c>
      <c r="L217" s="113">
        <f t="shared" si="35"/>
        <v>19</v>
      </c>
      <c r="M217" s="85">
        <f t="shared" si="36"/>
        <v>48.76</v>
      </c>
      <c r="N217" s="86">
        <f t="shared" si="37"/>
        <v>48.76</v>
      </c>
      <c r="O217" s="86" t="str">
        <f t="shared" si="31"/>
        <v/>
      </c>
      <c r="P217" s="87" t="str">
        <f t="shared" si="38"/>
        <v/>
      </c>
      <c r="Q217" s="86" t="str">
        <f>IF(P217&lt;&gt;"",SUMIF(L217:L276,L217,N217:N276),"")</f>
        <v/>
      </c>
      <c r="R217" s="86" t="str">
        <f>IF(P217&lt;&gt;"",SUMIF(L217:L276,L217,O217:O276),"")</f>
        <v/>
      </c>
    </row>
    <row r="218" spans="1:18" ht="26.4" x14ac:dyDescent="0.25">
      <c r="A218" s="296" t="s">
        <v>22</v>
      </c>
      <c r="B218" s="298" t="s">
        <v>298</v>
      </c>
      <c r="C218" s="296" t="s">
        <v>10</v>
      </c>
      <c r="D218" s="296" t="s">
        <v>299</v>
      </c>
      <c r="E218" s="363" t="s">
        <v>27</v>
      </c>
      <c r="F218" s="363"/>
      <c r="G218" s="297" t="s">
        <v>28</v>
      </c>
      <c r="H218" s="300">
        <v>1.5</v>
      </c>
      <c r="I218" s="299">
        <f>SUMIFS('ANALÍTICA AUXILIARES'!J:J,'ANALÍTICA AUXILIARES'!A:A,"Composição",'ANALÍTICA AUXILIARES'!B:B,$B218)</f>
        <v>18.739999999999998</v>
      </c>
      <c r="J218" s="299">
        <f t="shared" si="39"/>
        <v>28.11</v>
      </c>
      <c r="L218" s="113">
        <f t="shared" si="35"/>
        <v>19</v>
      </c>
      <c r="M218" s="85">
        <f t="shared" si="36"/>
        <v>28.11</v>
      </c>
      <c r="N218" s="86">
        <f t="shared" si="37"/>
        <v>28.11</v>
      </c>
      <c r="O218" s="86" t="str">
        <f t="shared" si="31"/>
        <v/>
      </c>
      <c r="P218" s="87" t="str">
        <f t="shared" si="38"/>
        <v/>
      </c>
      <c r="Q218" s="86" t="str">
        <f>IF(P218&lt;&gt;"",SUMIF(L218:L276,L218,N218:N276),"")</f>
        <v/>
      </c>
      <c r="R218" s="86" t="str">
        <f>IF(P218&lt;&gt;"",SUMIF(L218:L276,L218,O218:O276),"")</f>
        <v/>
      </c>
    </row>
    <row r="219" spans="1:18" ht="14.25" customHeight="1" x14ac:dyDescent="0.25">
      <c r="A219" s="301" t="s">
        <v>31</v>
      </c>
      <c r="B219" s="303" t="s">
        <v>499</v>
      </c>
      <c r="C219" s="301" t="str">
        <f>VLOOKUP(B219,INSUMOS!$A:$I,2,FALSE)</f>
        <v>SINAPI</v>
      </c>
      <c r="D219" s="301" t="str">
        <f>VLOOKUP(B219,INSUMOS!$A:$I,3,FALSE)</f>
        <v>CONTATOR TRIPOLAR, CORRENTE DE 9 A, TENSAO NOMINAL DE *500* V, CATEGORIA AC-2 E AC-3</v>
      </c>
      <c r="E219" s="361" t="str">
        <f>VLOOKUP(B219,INSUMOS!$A:$I,4,FALSE)</f>
        <v>Material</v>
      </c>
      <c r="F219" s="361"/>
      <c r="G219" s="302" t="str">
        <f>VLOOKUP(B219,INSUMOS!$A:$I,5,FALSE)</f>
        <v>UN</v>
      </c>
      <c r="H219" s="305">
        <v>1</v>
      </c>
      <c r="I219" s="304">
        <f>VLOOKUP(B219,INSUMOS!$A:$I,8,FALSE)</f>
        <v>117.48</v>
      </c>
      <c r="J219" s="304">
        <f t="shared" si="39"/>
        <v>117.48</v>
      </c>
      <c r="L219" s="113">
        <f t="shared" si="35"/>
        <v>19</v>
      </c>
      <c r="M219" s="85">
        <f t="shared" si="36"/>
        <v>117.48</v>
      </c>
      <c r="N219" s="86" t="str">
        <f t="shared" si="37"/>
        <v/>
      </c>
      <c r="O219" s="86">
        <f t="shared" si="31"/>
        <v>117.48</v>
      </c>
      <c r="P219" s="87" t="str">
        <f t="shared" si="38"/>
        <v/>
      </c>
      <c r="Q219" s="86" t="str">
        <f>IF(P219&lt;&gt;"",SUMIF(L219:L276,L219,N219:N276),"")</f>
        <v/>
      </c>
      <c r="R219" s="86" t="str">
        <f>IF(P219&lt;&gt;"",SUMIF(L219:L276,L219,O219:O276),"")</f>
        <v/>
      </c>
    </row>
    <row r="220" spans="1:18" ht="26.4" x14ac:dyDescent="0.25">
      <c r="A220" s="301" t="s">
        <v>31</v>
      </c>
      <c r="B220" s="303" t="s">
        <v>598</v>
      </c>
      <c r="C220" s="301" t="str">
        <f>VLOOKUP(B220,INSUMOS!$A:$I,2,FALSE)</f>
        <v>SINAPI</v>
      </c>
      <c r="D220" s="301" t="str">
        <f>VLOOKUP(B220,INSUMOS!$A:$I,3,FALSE)</f>
        <v>TERMINAL A COMPRESSAO EM COBRE ESTANHADO PARA CABO 2,5 MM2, 1 FURO E 1 COMPRESSAO, PARA PARAFUSO DE FIXACAO M5</v>
      </c>
      <c r="E220" s="361" t="str">
        <f>VLOOKUP(B220,INSUMOS!$A:$I,4,FALSE)</f>
        <v>Material</v>
      </c>
      <c r="F220" s="361"/>
      <c r="G220" s="302" t="str">
        <f>VLOOKUP(B220,INSUMOS!$A:$I,5,FALSE)</f>
        <v>UN</v>
      </c>
      <c r="H220" s="305">
        <v>6</v>
      </c>
      <c r="I220" s="304">
        <f>VLOOKUP(B220,INSUMOS!$A:$I,8,FALSE)</f>
        <v>0.89</v>
      </c>
      <c r="J220" s="304">
        <f t="shared" si="39"/>
        <v>5.34</v>
      </c>
      <c r="L220" s="113">
        <f t="shared" si="35"/>
        <v>19</v>
      </c>
      <c r="M220" s="85">
        <f t="shared" si="36"/>
        <v>5.34</v>
      </c>
      <c r="N220" s="86" t="str">
        <f t="shared" si="37"/>
        <v/>
      </c>
      <c r="O220" s="86">
        <f t="shared" si="31"/>
        <v>5.34</v>
      </c>
      <c r="P220" s="87" t="str">
        <f t="shared" si="38"/>
        <v/>
      </c>
      <c r="Q220" s="86" t="str">
        <f>IF(P220&lt;&gt;"",SUMIF(L220:L276,L220,N220:N276),"")</f>
        <v/>
      </c>
      <c r="R220" s="86" t="str">
        <f>IF(P220&lt;&gt;"",SUMIF(L220:L276,L220,O220:O276),"")</f>
        <v/>
      </c>
    </row>
    <row r="221" spans="1:18" ht="26.4" x14ac:dyDescent="0.25">
      <c r="A221" s="301" t="s">
        <v>31</v>
      </c>
      <c r="B221" s="303" t="s">
        <v>285</v>
      </c>
      <c r="C221" s="301" t="str">
        <f>VLOOKUP(B221,INSUMOS!$A:$I,2,FALSE)</f>
        <v>SINAPI</v>
      </c>
      <c r="D221" s="301" t="str">
        <f>VLOOKUP(B221,INSUMOS!$A:$I,3,FALSE)</f>
        <v>FITA ISOLANTE ADESIVA ANTICHAMA, USO ATE 750 V, EM ROLO DE 19 MM X 5 M</v>
      </c>
      <c r="E221" s="361" t="str">
        <f>VLOOKUP(B221,INSUMOS!$A:$I,4,FALSE)</f>
        <v>Material</v>
      </c>
      <c r="F221" s="361"/>
      <c r="G221" s="302" t="str">
        <f>VLOOKUP(B221,INSUMOS!$A:$I,5,FALSE)</f>
        <v>UN</v>
      </c>
      <c r="H221" s="305">
        <v>0.2</v>
      </c>
      <c r="I221" s="304">
        <f>VLOOKUP(B221,INSUMOS!$A:$I,8,FALSE)</f>
        <v>3.6</v>
      </c>
      <c r="J221" s="304">
        <f t="shared" si="39"/>
        <v>0.72</v>
      </c>
      <c r="L221" s="113">
        <f t="shared" si="35"/>
        <v>19</v>
      </c>
      <c r="M221" s="85">
        <f t="shared" si="36"/>
        <v>0.72</v>
      </c>
      <c r="N221" s="86" t="str">
        <f t="shared" si="37"/>
        <v/>
      </c>
      <c r="O221" s="86">
        <f t="shared" si="31"/>
        <v>0.72</v>
      </c>
      <c r="P221" s="87" t="str">
        <f t="shared" si="38"/>
        <v/>
      </c>
      <c r="Q221" s="86" t="str">
        <f>IF(P221&lt;&gt;"",SUMIF(L221:L276,L221,N221:N276),"")</f>
        <v/>
      </c>
      <c r="R221" s="86" t="str">
        <f>IF(P221&lt;&gt;"",SUMIF(L221:L276,L221,O221:O276),"")</f>
        <v/>
      </c>
    </row>
    <row r="222" spans="1:18" ht="26.4" x14ac:dyDescent="0.25">
      <c r="A222" s="301" t="s">
        <v>31</v>
      </c>
      <c r="B222" s="303" t="s">
        <v>271</v>
      </c>
      <c r="C222" s="301" t="str">
        <f>VLOOKUP(B222,INSUMOS!$A:$I,2,FALSE)</f>
        <v>SINAPI</v>
      </c>
      <c r="D222" s="301" t="str">
        <f>VLOOKUP(B222,INSUMOS!$A:$I,3,FALSE)</f>
        <v>CABO DE COBRE, FLEXIVEL, CLASSE 4 OU 5, ISOLACAO EM PVC/A, ANTICHAMA BWF-B, 1 CONDUTOR, 450/750 V, SECAO NOMINAL 2,5 MM2</v>
      </c>
      <c r="E222" s="361" t="str">
        <f>VLOOKUP(B222,INSUMOS!$A:$I,4,FALSE)</f>
        <v>Material</v>
      </c>
      <c r="F222" s="361"/>
      <c r="G222" s="302" t="str">
        <f>VLOOKUP(B222,INSUMOS!$A:$I,5,FALSE)</f>
        <v>M</v>
      </c>
      <c r="H222" s="305">
        <v>3</v>
      </c>
      <c r="I222" s="304">
        <f>VLOOKUP(B222,INSUMOS!$A:$I,8,FALSE)</f>
        <v>2.35</v>
      </c>
      <c r="J222" s="304">
        <f t="shared" si="39"/>
        <v>7.05</v>
      </c>
      <c r="L222" s="113">
        <f t="shared" si="35"/>
        <v>19</v>
      </c>
      <c r="M222" s="85">
        <f t="shared" si="36"/>
        <v>7.05</v>
      </c>
      <c r="N222" s="86" t="str">
        <f t="shared" si="37"/>
        <v/>
      </c>
      <c r="O222" s="86">
        <f t="shared" si="31"/>
        <v>7.05</v>
      </c>
      <c r="P222" s="87" t="str">
        <f t="shared" si="38"/>
        <v/>
      </c>
      <c r="Q222" s="86" t="str">
        <f>IF(P222&lt;&gt;"",SUMIF(L222:L276,L222,N222:N276),"")</f>
        <v/>
      </c>
      <c r="R222" s="86" t="str">
        <f>IF(P222&lt;&gt;"",SUMIF(L222:L276,L222,O222:O276),"")</f>
        <v/>
      </c>
    </row>
    <row r="223" spans="1:18" ht="25.5" customHeight="1" x14ac:dyDescent="0.25">
      <c r="A223" s="309"/>
      <c r="B223" s="309"/>
      <c r="C223" s="309"/>
      <c r="D223" s="309"/>
      <c r="E223" s="309"/>
      <c r="F223" s="310"/>
      <c r="G223" s="309"/>
      <c r="H223" s="310"/>
      <c r="I223" s="309"/>
      <c r="J223" s="310"/>
      <c r="L223" s="113">
        <f t="shared" si="35"/>
        <v>19</v>
      </c>
      <c r="M223" s="85" t="str">
        <f t="shared" si="36"/>
        <v/>
      </c>
      <c r="N223" s="86" t="str">
        <f t="shared" si="37"/>
        <v/>
      </c>
      <c r="O223" s="86" t="str">
        <f t="shared" si="31"/>
        <v/>
      </c>
      <c r="P223" s="87" t="str">
        <f t="shared" si="38"/>
        <v/>
      </c>
      <c r="Q223" s="86" t="str">
        <f>IF(P223&lt;&gt;"",SUMIF(L223:L276,L223,N223:N276),"")</f>
        <v/>
      </c>
      <c r="R223" s="86" t="str">
        <f>IF(P223&lt;&gt;"",SUMIF(L223:L276,L223,O223:O276),"")</f>
        <v/>
      </c>
    </row>
    <row r="224" spans="1:18" ht="38.25" customHeight="1" x14ac:dyDescent="0.25">
      <c r="A224" s="309"/>
      <c r="B224" s="309"/>
      <c r="C224" s="309"/>
      <c r="D224" s="309"/>
      <c r="E224" s="309"/>
      <c r="F224" s="310"/>
      <c r="G224" s="309"/>
      <c r="H224" s="350" t="s">
        <v>39</v>
      </c>
      <c r="I224" s="350"/>
      <c r="J224" s="310">
        <f>TRUNC(SUMIF(L:L,$L224,M:M)*(1+$J$9),2)</f>
        <v>253.55</v>
      </c>
      <c r="L224" s="113">
        <f t="shared" si="35"/>
        <v>19</v>
      </c>
      <c r="M224" s="85" t="str">
        <f t="shared" si="36"/>
        <v/>
      </c>
      <c r="N224" s="86" t="str">
        <f t="shared" si="37"/>
        <v/>
      </c>
      <c r="O224" s="86" t="str">
        <f t="shared" si="31"/>
        <v/>
      </c>
      <c r="P224" s="87" t="str">
        <f t="shared" si="38"/>
        <v/>
      </c>
      <c r="Q224" s="86" t="str">
        <f>IF(P224&lt;&gt;"",SUMIF(L224:L276,L224,N224:N276),"")</f>
        <v/>
      </c>
      <c r="R224" s="86" t="str">
        <f>IF(P224&lt;&gt;"",SUMIF(L224:L276,L224,O224:O276),"")</f>
        <v/>
      </c>
    </row>
    <row r="225" spans="1:18" ht="38.25" customHeight="1" thickBot="1" x14ac:dyDescent="0.3">
      <c r="A225" s="306"/>
      <c r="B225" s="306"/>
      <c r="C225" s="306"/>
      <c r="D225" s="306"/>
      <c r="E225" s="306"/>
      <c r="F225" s="306"/>
      <c r="G225" s="306" t="s">
        <v>40</v>
      </c>
      <c r="H225" s="308">
        <v>1</v>
      </c>
      <c r="I225" s="306" t="s">
        <v>41</v>
      </c>
      <c r="J225" s="307">
        <f>TRUNC(J224*H225,2)</f>
        <v>253.55</v>
      </c>
      <c r="L225" s="113">
        <f t="shared" si="35"/>
        <v>19</v>
      </c>
      <c r="M225" s="85" t="str">
        <f t="shared" si="36"/>
        <v/>
      </c>
      <c r="N225" s="86" t="str">
        <f t="shared" si="37"/>
        <v/>
      </c>
      <c r="O225" s="86" t="str">
        <f t="shared" si="31"/>
        <v/>
      </c>
      <c r="P225" s="87" t="str">
        <f t="shared" si="38"/>
        <v/>
      </c>
      <c r="Q225" s="86" t="str">
        <f>IF(P225&lt;&gt;"",SUMIF(L225:L276,L225,N225:N276),"")</f>
        <v/>
      </c>
      <c r="R225" s="86" t="str">
        <f>IF(P225&lt;&gt;"",SUMIF(L225:L276,L225,O225:O276),"")</f>
        <v/>
      </c>
    </row>
    <row r="226" spans="1:18" ht="14.4" thickTop="1" x14ac:dyDescent="0.25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L226" s="113">
        <f t="shared" si="35"/>
        <v>20</v>
      </c>
      <c r="M226" s="85" t="str">
        <f t="shared" si="36"/>
        <v/>
      </c>
      <c r="N226" s="86" t="str">
        <f t="shared" si="37"/>
        <v/>
      </c>
      <c r="O226" s="86" t="str">
        <f t="shared" si="31"/>
        <v/>
      </c>
      <c r="P226" s="87" t="str">
        <f t="shared" si="38"/>
        <v/>
      </c>
      <c r="Q226" s="86" t="str">
        <f>IF(P226&lt;&gt;"",SUMIF(L226:L276,L226,N226:N276),"")</f>
        <v/>
      </c>
      <c r="R226" s="86" t="str">
        <f>IF(P226&lt;&gt;"",SUMIF(L226:L276,L226,O226:O276),"")</f>
        <v/>
      </c>
    </row>
    <row r="227" spans="1:18" x14ac:dyDescent="0.25">
      <c r="A227" s="284" t="s">
        <v>711</v>
      </c>
      <c r="B227" s="286" t="s">
        <v>1</v>
      </c>
      <c r="C227" s="284" t="s">
        <v>2</v>
      </c>
      <c r="D227" s="284" t="s">
        <v>3</v>
      </c>
      <c r="E227" s="347" t="s">
        <v>19</v>
      </c>
      <c r="F227" s="347"/>
      <c r="G227" s="285" t="s">
        <v>4</v>
      </c>
      <c r="H227" s="286" t="s">
        <v>5</v>
      </c>
      <c r="I227" s="286" t="s">
        <v>6</v>
      </c>
      <c r="J227" s="286" t="s">
        <v>7</v>
      </c>
      <c r="L227" s="113">
        <f t="shared" si="35"/>
        <v>20</v>
      </c>
      <c r="M227" s="85" t="str">
        <f t="shared" si="36"/>
        <v/>
      </c>
      <c r="N227" s="86" t="str">
        <f t="shared" si="37"/>
        <v/>
      </c>
      <c r="O227" s="86" t="str">
        <f t="shared" si="31"/>
        <v/>
      </c>
      <c r="P227" s="87" t="str">
        <f t="shared" si="38"/>
        <v/>
      </c>
      <c r="Q227" s="86" t="str">
        <f>IF(P227&lt;&gt;"",SUMIF(L227:L276,L227,N227:N276),"")</f>
        <v/>
      </c>
      <c r="R227" s="86" t="str">
        <f>IF(P227&lt;&gt;"",SUMIF(L227:L276,L227,O227:O276),"")</f>
        <v/>
      </c>
    </row>
    <row r="228" spans="1:18" ht="26.4" x14ac:dyDescent="0.25">
      <c r="A228" s="290" t="s">
        <v>20</v>
      </c>
      <c r="B228" s="292" t="s">
        <v>712</v>
      </c>
      <c r="C228" s="290" t="s">
        <v>13</v>
      </c>
      <c r="D228" s="290" t="s">
        <v>713</v>
      </c>
      <c r="E228" s="362" t="s">
        <v>315</v>
      </c>
      <c r="F228" s="362"/>
      <c r="G228" s="291" t="s">
        <v>375</v>
      </c>
      <c r="H228" s="294">
        <v>1</v>
      </c>
      <c r="I228" s="293">
        <f>SUMIF(L:L,$L228,M:M)</f>
        <v>81.42</v>
      </c>
      <c r="J228" s="293">
        <f t="shared" ref="J228:J241" si="40">TRUNC(H228*I228,2)</f>
        <v>81.42</v>
      </c>
      <c r="L228" s="113">
        <f t="shared" si="35"/>
        <v>20</v>
      </c>
      <c r="M228" s="85" t="str">
        <f t="shared" si="36"/>
        <v/>
      </c>
      <c r="N228" s="86" t="str">
        <f t="shared" si="37"/>
        <v/>
      </c>
      <c r="O228" s="86" t="str">
        <f t="shared" ref="O228:O269" si="41">IF(N228&lt;&gt;"","",M228)</f>
        <v/>
      </c>
      <c r="P228" s="87" t="str">
        <f t="shared" si="38"/>
        <v xml:space="preserve"> 2.7.3 </v>
      </c>
      <c r="Q228" s="86">
        <f>IF(P228&lt;&gt;"",SUMIF(L228:L276,L228,N228:N276),"")</f>
        <v>39.86</v>
      </c>
      <c r="R228" s="86">
        <f>IF(P228&lt;&gt;"",SUMIF(L228:L276,L228,O228:O276),"")</f>
        <v>41.56</v>
      </c>
    </row>
    <row r="229" spans="1:18" ht="26.4" x14ac:dyDescent="0.25">
      <c r="A229" s="296" t="s">
        <v>22</v>
      </c>
      <c r="B229" s="298" t="s">
        <v>714</v>
      </c>
      <c r="C229" s="296" t="s">
        <v>10</v>
      </c>
      <c r="D229" s="296" t="s">
        <v>715</v>
      </c>
      <c r="E229" s="363" t="s">
        <v>27</v>
      </c>
      <c r="F229" s="363"/>
      <c r="G229" s="297" t="s">
        <v>28</v>
      </c>
      <c r="H229" s="300">
        <v>0.26119999999999999</v>
      </c>
      <c r="I229" s="299">
        <f>SUMIFS('ANALÍTICA AUXILIARES'!J:J,'ANALÍTICA AUXILIARES'!A:A,"Composição",'ANALÍTICA AUXILIARES'!B:B,$B229)</f>
        <v>18.21</v>
      </c>
      <c r="J229" s="299">
        <f t="shared" si="40"/>
        <v>4.75</v>
      </c>
      <c r="L229" s="113">
        <f t="shared" si="35"/>
        <v>20</v>
      </c>
      <c r="M229" s="85">
        <f t="shared" si="36"/>
        <v>4.75</v>
      </c>
      <c r="N229" s="86">
        <f t="shared" si="37"/>
        <v>4.75</v>
      </c>
      <c r="O229" s="86" t="str">
        <f t="shared" si="41"/>
        <v/>
      </c>
      <c r="P229" s="87" t="str">
        <f t="shared" si="38"/>
        <v/>
      </c>
      <c r="Q229" s="86" t="str">
        <f>IF(P229&lt;&gt;"",SUMIF(L229:L276,L229,N229:N276),"")</f>
        <v/>
      </c>
      <c r="R229" s="86" t="str">
        <f>IF(P229&lt;&gt;"",SUMIF(L229:L276,L229,O229:O276),"")</f>
        <v/>
      </c>
    </row>
    <row r="230" spans="1:18" ht="26.4" x14ac:dyDescent="0.25">
      <c r="A230" s="296" t="s">
        <v>22</v>
      </c>
      <c r="B230" s="298" t="s">
        <v>29</v>
      </c>
      <c r="C230" s="296" t="s">
        <v>10</v>
      </c>
      <c r="D230" s="296" t="s">
        <v>30</v>
      </c>
      <c r="E230" s="363" t="s">
        <v>27</v>
      </c>
      <c r="F230" s="363"/>
      <c r="G230" s="297" t="s">
        <v>28</v>
      </c>
      <c r="H230" s="300">
        <v>0.62790000000000001</v>
      </c>
      <c r="I230" s="299">
        <f>SUMIFS('ANALÍTICA AUXILIARES'!J:J,'ANALÍTICA AUXILIARES'!A:A,"Composição",'ANALÍTICA AUXILIARES'!B:B,$B230)</f>
        <v>17.61</v>
      </c>
      <c r="J230" s="299">
        <f t="shared" si="40"/>
        <v>11.05</v>
      </c>
      <c r="L230" s="113">
        <f t="shared" si="35"/>
        <v>20</v>
      </c>
      <c r="M230" s="85">
        <f t="shared" si="36"/>
        <v>11.05</v>
      </c>
      <c r="N230" s="86">
        <f t="shared" si="37"/>
        <v>11.05</v>
      </c>
      <c r="O230" s="86" t="str">
        <f t="shared" si="41"/>
        <v/>
      </c>
      <c r="P230" s="87" t="str">
        <f t="shared" si="38"/>
        <v/>
      </c>
      <c r="Q230" s="86" t="str">
        <f>IF(P230&lt;&gt;"",SUMIF(L230:L276,L230,N230:N276),"")</f>
        <v/>
      </c>
      <c r="R230" s="86" t="str">
        <f>IF(P230&lt;&gt;"",SUMIF(L230:L276,L230,O230:O276),"")</f>
        <v/>
      </c>
    </row>
    <row r="231" spans="1:18" ht="13.8" customHeight="1" x14ac:dyDescent="0.25">
      <c r="A231" s="296" t="s">
        <v>22</v>
      </c>
      <c r="B231" s="298" t="s">
        <v>53</v>
      </c>
      <c r="C231" s="296" t="s">
        <v>10</v>
      </c>
      <c r="D231" s="296" t="s">
        <v>54</v>
      </c>
      <c r="E231" s="363" t="s">
        <v>27</v>
      </c>
      <c r="F231" s="363"/>
      <c r="G231" s="297" t="s">
        <v>28</v>
      </c>
      <c r="H231" s="300">
        <v>0.96699999999999997</v>
      </c>
      <c r="I231" s="299">
        <f>SUMIFS('ANALÍTICA AUXILIARES'!J:J,'ANALÍTICA AUXILIARES'!A:A,"Composição",'ANALÍTICA AUXILIARES'!B:B,$B231)</f>
        <v>24.89</v>
      </c>
      <c r="J231" s="299">
        <f t="shared" si="40"/>
        <v>24.06</v>
      </c>
      <c r="L231" s="113">
        <f t="shared" si="35"/>
        <v>20</v>
      </c>
      <c r="M231" s="85">
        <f t="shared" si="36"/>
        <v>24.06</v>
      </c>
      <c r="N231" s="86">
        <f t="shared" si="37"/>
        <v>24.06</v>
      </c>
      <c r="O231" s="86" t="str">
        <f t="shared" si="41"/>
        <v/>
      </c>
      <c r="P231" s="87" t="str">
        <f t="shared" si="38"/>
        <v/>
      </c>
      <c r="Q231" s="86" t="str">
        <f>IF(P231&lt;&gt;"",SUMIF(L231:L276,L231,N231:N276),"")</f>
        <v/>
      </c>
      <c r="R231" s="86" t="str">
        <f>IF(P231&lt;&gt;"",SUMIF(L231:L276,L231,O231:O276),"")</f>
        <v/>
      </c>
    </row>
    <row r="232" spans="1:18" ht="14.25" customHeight="1" x14ac:dyDescent="0.25">
      <c r="A232" s="301" t="s">
        <v>31</v>
      </c>
      <c r="B232" s="303" t="s">
        <v>553</v>
      </c>
      <c r="C232" s="301" t="str">
        <f>VLOOKUP(B232,INSUMOS!$A:$I,2,FALSE)</f>
        <v>SINAPI</v>
      </c>
      <c r="D232" s="301" t="str">
        <f>VLOOKUP(B232,INSUMOS!$A:$I,3,FALSE)</f>
        <v>PLACA / CHAPA DE GESSO ACARTONADO, STANDARD (ST), COR BRANCA, E = 12,5 MM, 1200 X 2400 MM (L X C)</v>
      </c>
      <c r="E232" s="361" t="str">
        <f>VLOOKUP(B232,INSUMOS!$A:$I,4,FALSE)</f>
        <v>Material</v>
      </c>
      <c r="F232" s="361"/>
      <c r="G232" s="302" t="str">
        <f>VLOOKUP(B232,INSUMOS!$A:$I,5,FALSE)</f>
        <v>m²</v>
      </c>
      <c r="H232" s="305">
        <v>0.4</v>
      </c>
      <c r="I232" s="304">
        <f>VLOOKUP(B232,INSUMOS!$A:$I,8,FALSE)</f>
        <v>13.05</v>
      </c>
      <c r="J232" s="304">
        <f t="shared" si="40"/>
        <v>5.22</v>
      </c>
      <c r="L232" s="113">
        <f t="shared" si="35"/>
        <v>20</v>
      </c>
      <c r="M232" s="85">
        <f t="shared" si="36"/>
        <v>5.22</v>
      </c>
      <c r="N232" s="86" t="str">
        <f t="shared" si="37"/>
        <v/>
      </c>
      <c r="O232" s="86">
        <f t="shared" si="41"/>
        <v>5.22</v>
      </c>
      <c r="P232" s="87" t="str">
        <f t="shared" si="38"/>
        <v/>
      </c>
      <c r="Q232" s="86" t="str">
        <f>IF(P232&lt;&gt;"",SUMIF(L232:L276,L232,N232:N276),"")</f>
        <v/>
      </c>
      <c r="R232" s="86" t="str">
        <f>IF(P232&lt;&gt;"",SUMIF(L232:L276,L232,O232:O276),"")</f>
        <v/>
      </c>
    </row>
    <row r="233" spans="1:18" ht="26.4" x14ac:dyDescent="0.25">
      <c r="A233" s="301" t="s">
        <v>31</v>
      </c>
      <c r="B233" s="303" t="s">
        <v>527</v>
      </c>
      <c r="C233" s="301" t="str">
        <f>VLOOKUP(B233,INSUMOS!$A:$I,2,FALSE)</f>
        <v>SINAPI</v>
      </c>
      <c r="D233" s="301" t="str">
        <f>VLOOKUP(B233,INSUMOS!$A:$I,3,FALSE)</f>
        <v>PERFIL CANALETA, FORMATO C, EM ACO ZINCADO, PARA ESTRUTURA FORRO DRYWALL, E = 0,5 MM, *46 X 18* (L X H), COMPRIMENTO 3 M</v>
      </c>
      <c r="E233" s="361" t="str">
        <f>VLOOKUP(B233,INSUMOS!$A:$I,4,FALSE)</f>
        <v>Material</v>
      </c>
      <c r="F233" s="361"/>
      <c r="G233" s="302" t="str">
        <f>VLOOKUP(B233,INSUMOS!$A:$I,5,FALSE)</f>
        <v>M</v>
      </c>
      <c r="H233" s="305">
        <v>1.8</v>
      </c>
      <c r="I233" s="304">
        <f>VLOOKUP(B233,INSUMOS!$A:$I,8,FALSE)</f>
        <v>5.95</v>
      </c>
      <c r="J233" s="304">
        <f t="shared" si="40"/>
        <v>10.71</v>
      </c>
      <c r="L233" s="113">
        <f t="shared" si="35"/>
        <v>20</v>
      </c>
      <c r="M233" s="85">
        <f t="shared" si="36"/>
        <v>10.71</v>
      </c>
      <c r="N233" s="86" t="str">
        <f t="shared" si="37"/>
        <v/>
      </c>
      <c r="O233" s="86">
        <f t="shared" si="41"/>
        <v>10.71</v>
      </c>
      <c r="P233" s="87" t="str">
        <f t="shared" si="38"/>
        <v/>
      </c>
      <c r="Q233" s="86" t="str">
        <f>IF(P233&lt;&gt;"",SUMIF(L233:L276,L233,N233:N276),"")</f>
        <v/>
      </c>
      <c r="R233" s="86" t="str">
        <f>IF(P233&lt;&gt;"",SUMIF(L233:L276,L233,O233:O276),"")</f>
        <v/>
      </c>
    </row>
    <row r="234" spans="1:18" ht="26.4" x14ac:dyDescent="0.25">
      <c r="A234" s="301" t="s">
        <v>31</v>
      </c>
      <c r="B234" s="303" t="s">
        <v>558</v>
      </c>
      <c r="C234" s="301" t="str">
        <f>VLOOKUP(B234,INSUMOS!$A:$I,2,FALSE)</f>
        <v>SINAPI</v>
      </c>
      <c r="D234" s="301" t="str">
        <f>VLOOKUP(B234,INSUMOS!$A:$I,3,FALSE)</f>
        <v>FITA DE PAPEL REFORCADA COM LAMINA DE METAL PARA REFORCO DE CANTOS DE CHAPA DE GESSO PARA DRYWALL</v>
      </c>
      <c r="E234" s="361" t="str">
        <f>VLOOKUP(B234,INSUMOS!$A:$I,4,FALSE)</f>
        <v>Material</v>
      </c>
      <c r="F234" s="361"/>
      <c r="G234" s="302" t="str">
        <f>VLOOKUP(B234,INSUMOS!$A:$I,5,FALSE)</f>
        <v>M</v>
      </c>
      <c r="H234" s="305">
        <v>2.4</v>
      </c>
      <c r="I234" s="304">
        <f>VLOOKUP(B234,INSUMOS!$A:$I,8,FALSE)</f>
        <v>1.93</v>
      </c>
      <c r="J234" s="304">
        <f t="shared" si="40"/>
        <v>4.63</v>
      </c>
      <c r="L234" s="113">
        <f t="shared" si="35"/>
        <v>20</v>
      </c>
      <c r="M234" s="85">
        <f t="shared" si="36"/>
        <v>4.63</v>
      </c>
      <c r="N234" s="86" t="str">
        <f t="shared" si="37"/>
        <v/>
      </c>
      <c r="O234" s="86">
        <f t="shared" si="41"/>
        <v>4.63</v>
      </c>
      <c r="P234" s="87" t="str">
        <f t="shared" si="38"/>
        <v/>
      </c>
      <c r="Q234" s="86" t="str">
        <f>IF(P234&lt;&gt;"",SUMIF(L234:L276,L234,N234:N276),"")</f>
        <v/>
      </c>
      <c r="R234" s="86" t="str">
        <f>IF(P234&lt;&gt;"",SUMIF(L234:L276,L234,O234:O276),"")</f>
        <v/>
      </c>
    </row>
    <row r="235" spans="1:18" ht="39.6" x14ac:dyDescent="0.25">
      <c r="A235" s="301" t="s">
        <v>31</v>
      </c>
      <c r="B235" s="303" t="s">
        <v>583</v>
      </c>
      <c r="C235" s="301" t="str">
        <f>VLOOKUP(B235,INSUMOS!$A:$I,2,FALSE)</f>
        <v>SINAPI</v>
      </c>
      <c r="D235" s="301" t="str">
        <f>VLOOKUP(B235,INSUMOS!$A:$I,3,FALSE)</f>
        <v>MASSA DE REJUNTE EM PO PARA DRYWALL, A BASE DE GESSO, SECAGEM RAPIDA, PARA TRATAMENTO DE JUNTAS DE CHAPA DE GESSO (NECESSITA ADICAO DE AGUA)</v>
      </c>
      <c r="E235" s="361" t="str">
        <f>VLOOKUP(B235,INSUMOS!$A:$I,4,FALSE)</f>
        <v>Equipamento</v>
      </c>
      <c r="F235" s="361"/>
      <c r="G235" s="302" t="str">
        <f>VLOOKUP(B235,INSUMOS!$A:$I,5,FALSE)</f>
        <v>KG</v>
      </c>
      <c r="H235" s="305">
        <v>1</v>
      </c>
      <c r="I235" s="304">
        <f>VLOOKUP(B235,INSUMOS!$A:$I,8,FALSE)</f>
        <v>2.59</v>
      </c>
      <c r="J235" s="304">
        <f t="shared" si="40"/>
        <v>2.59</v>
      </c>
      <c r="L235" s="113">
        <f t="shared" si="35"/>
        <v>20</v>
      </c>
      <c r="M235" s="85">
        <f t="shared" si="36"/>
        <v>2.59</v>
      </c>
      <c r="N235" s="86" t="str">
        <f t="shared" si="37"/>
        <v/>
      </c>
      <c r="O235" s="86">
        <f t="shared" si="41"/>
        <v>2.59</v>
      </c>
      <c r="P235" s="87" t="str">
        <f t="shared" si="38"/>
        <v/>
      </c>
      <c r="Q235" s="86" t="str">
        <f>IF(P235&lt;&gt;"",SUMIF(L235:L276,L235,N235:N276),"")</f>
        <v/>
      </c>
      <c r="R235" s="86" t="str">
        <f>IF(P235&lt;&gt;"",SUMIF(L235:L276,L235,O235:O276),"")</f>
        <v/>
      </c>
    </row>
    <row r="236" spans="1:18" ht="25.5" customHeight="1" x14ac:dyDescent="0.25">
      <c r="A236" s="301" t="s">
        <v>31</v>
      </c>
      <c r="B236" s="303" t="s">
        <v>611</v>
      </c>
      <c r="C236" s="301" t="str">
        <f>VLOOKUP(B236,INSUMOS!$A:$I,2,FALSE)</f>
        <v>SINAPI</v>
      </c>
      <c r="D236" s="301" t="str">
        <f>VLOOKUP(B236,INSUMOS!$A:$I,3,FALSE)</f>
        <v>PARAFUSO DRY WALL, EM ACO FOSFATIZADO, CABECA TROMBETA E PONTA AGULHA (TA), COMPRIMENTO 25 MM</v>
      </c>
      <c r="E236" s="361" t="str">
        <f>VLOOKUP(B236,INSUMOS!$A:$I,4,FALSE)</f>
        <v>Material</v>
      </c>
      <c r="F236" s="361"/>
      <c r="G236" s="302" t="str">
        <f>VLOOKUP(B236,INSUMOS!$A:$I,5,FALSE)</f>
        <v>UN</v>
      </c>
      <c r="H236" s="305">
        <v>18</v>
      </c>
      <c r="I236" s="304">
        <f>VLOOKUP(B236,INSUMOS!$A:$I,8,FALSE)</f>
        <v>0.06</v>
      </c>
      <c r="J236" s="304">
        <f t="shared" si="40"/>
        <v>1.08</v>
      </c>
      <c r="L236" s="113">
        <f t="shared" si="35"/>
        <v>20</v>
      </c>
      <c r="M236" s="85">
        <f t="shared" si="36"/>
        <v>1.08</v>
      </c>
      <c r="N236" s="86" t="str">
        <f t="shared" si="37"/>
        <v/>
      </c>
      <c r="O236" s="86">
        <f t="shared" si="41"/>
        <v>1.08</v>
      </c>
      <c r="P236" s="87" t="str">
        <f t="shared" si="38"/>
        <v/>
      </c>
      <c r="Q236" s="86" t="str">
        <f>IF(P236&lt;&gt;"",SUMIF(L236:L276,L236,N236:N276),"")</f>
        <v/>
      </c>
      <c r="R236" s="86" t="str">
        <f>IF(P236&lt;&gt;"",SUMIF(L236:L276,L236,O236:O276),"")</f>
        <v/>
      </c>
    </row>
    <row r="237" spans="1:18" ht="38.25" customHeight="1" x14ac:dyDescent="0.25">
      <c r="A237" s="301" t="s">
        <v>31</v>
      </c>
      <c r="B237" s="303" t="s">
        <v>627</v>
      </c>
      <c r="C237" s="301" t="str">
        <f>VLOOKUP(B237,INSUMOS!$A:$I,2,FALSE)</f>
        <v>SINAPI</v>
      </c>
      <c r="D237" s="301" t="str">
        <f>VLOOKUP(B237,INSUMOS!$A:$I,3,FALSE)</f>
        <v>LIXA EM FOLHA PARA PAREDE OU MADEIRA, NUMERO 120 (COR VERMELHA)</v>
      </c>
      <c r="E237" s="361" t="str">
        <f>VLOOKUP(B237,INSUMOS!$A:$I,4,FALSE)</f>
        <v>Material</v>
      </c>
      <c r="F237" s="361"/>
      <c r="G237" s="302" t="str">
        <f>VLOOKUP(B237,INSUMOS!$A:$I,5,FALSE)</f>
        <v>UN</v>
      </c>
      <c r="H237" s="305">
        <v>0.1</v>
      </c>
      <c r="I237" s="304">
        <f>VLOOKUP(B237,INSUMOS!$A:$I,8,FALSE)</f>
        <v>0.7</v>
      </c>
      <c r="J237" s="304">
        <f t="shared" si="40"/>
        <v>7.0000000000000007E-2</v>
      </c>
      <c r="L237" s="113">
        <f t="shared" si="35"/>
        <v>20</v>
      </c>
      <c r="M237" s="85">
        <f t="shared" si="36"/>
        <v>7.0000000000000007E-2</v>
      </c>
      <c r="N237" s="86" t="str">
        <f t="shared" si="37"/>
        <v/>
      </c>
      <c r="O237" s="86">
        <f t="shared" si="41"/>
        <v>7.0000000000000007E-2</v>
      </c>
      <c r="P237" s="87" t="str">
        <f t="shared" si="38"/>
        <v/>
      </c>
      <c r="Q237" s="86" t="str">
        <f>IF(P237&lt;&gt;"",SUMIF(L237:L276,L237,N237:N276),"")</f>
        <v/>
      </c>
      <c r="R237" s="86" t="str">
        <f>IF(P237&lt;&gt;"",SUMIF(L237:L276,L237,O237:O276),"")</f>
        <v/>
      </c>
    </row>
    <row r="238" spans="1:18" ht="38.25" customHeight="1" x14ac:dyDescent="0.25">
      <c r="A238" s="301" t="s">
        <v>31</v>
      </c>
      <c r="B238" s="303" t="s">
        <v>561</v>
      </c>
      <c r="C238" s="301" t="str">
        <f>VLOOKUP(B238,INSUMOS!$A:$I,2,FALSE)</f>
        <v>SINAPI</v>
      </c>
      <c r="D238" s="301" t="str">
        <f>VLOOKUP(B238,INSUMOS!$A:$I,3,FALSE)</f>
        <v>!EM PROCESSO DE DESATIVACAO! MASSA CORRIDA PVA PARA PAREDES INTERNAS</v>
      </c>
      <c r="E238" s="361" t="str">
        <f>VLOOKUP(B238,INSUMOS!$A:$I,4,FALSE)</f>
        <v>Material</v>
      </c>
      <c r="F238" s="361"/>
      <c r="G238" s="302" t="str">
        <f>VLOOKUP(B238,INSUMOS!$A:$I,5,FALSE)</f>
        <v>GL</v>
      </c>
      <c r="H238" s="305">
        <v>0.2445</v>
      </c>
      <c r="I238" s="304">
        <f>VLOOKUP(B238,INSUMOS!$A:$I,8,FALSE)</f>
        <v>15.98</v>
      </c>
      <c r="J238" s="304">
        <f t="shared" si="40"/>
        <v>3.9</v>
      </c>
      <c r="L238" s="113">
        <f t="shared" si="35"/>
        <v>20</v>
      </c>
      <c r="M238" s="85">
        <f t="shared" si="36"/>
        <v>3.9</v>
      </c>
      <c r="N238" s="86" t="str">
        <f t="shared" si="37"/>
        <v/>
      </c>
      <c r="O238" s="86">
        <f t="shared" si="41"/>
        <v>3.9</v>
      </c>
      <c r="P238" s="87" t="str">
        <f t="shared" si="38"/>
        <v/>
      </c>
      <c r="Q238" s="86" t="str">
        <f>IF(P238&lt;&gt;"",SUMIF(L238:L276,L238,N238:N276),"")</f>
        <v/>
      </c>
      <c r="R238" s="86" t="str">
        <f>IF(P238&lt;&gt;"",SUMIF(L238:L276,L238,O238:O276),"")</f>
        <v/>
      </c>
    </row>
    <row r="239" spans="1:18" x14ac:dyDescent="0.25">
      <c r="A239" s="301" t="s">
        <v>31</v>
      </c>
      <c r="B239" s="303" t="s">
        <v>543</v>
      </c>
      <c r="C239" s="301" t="str">
        <f>VLOOKUP(B239,INSUMOS!$A:$I,2,FALSE)</f>
        <v>SINAPI</v>
      </c>
      <c r="D239" s="301" t="str">
        <f>VLOOKUP(B239,INSUMOS!$A:$I,3,FALSE)</f>
        <v>TINTA ACRILICA PREMIUM, COR BRANCO FOSCO</v>
      </c>
      <c r="E239" s="361" t="str">
        <f>VLOOKUP(B239,INSUMOS!$A:$I,4,FALSE)</f>
        <v>Material</v>
      </c>
      <c r="F239" s="361"/>
      <c r="G239" s="302" t="str">
        <f>VLOOKUP(B239,INSUMOS!$A:$I,5,FALSE)</f>
        <v>L</v>
      </c>
      <c r="H239" s="305">
        <v>0.33</v>
      </c>
      <c r="I239" s="304">
        <f>VLOOKUP(B239,INSUMOS!$A:$I,8,FALSE)</f>
        <v>21.84</v>
      </c>
      <c r="J239" s="304">
        <f t="shared" si="40"/>
        <v>7.2</v>
      </c>
      <c r="L239" s="113">
        <f t="shared" si="35"/>
        <v>20</v>
      </c>
      <c r="M239" s="85">
        <f t="shared" si="36"/>
        <v>7.2</v>
      </c>
      <c r="N239" s="86" t="str">
        <f t="shared" si="37"/>
        <v/>
      </c>
      <c r="O239" s="86">
        <f t="shared" si="41"/>
        <v>7.2</v>
      </c>
      <c r="P239" s="87" t="str">
        <f t="shared" si="38"/>
        <v/>
      </c>
      <c r="Q239" s="86" t="str">
        <f>IF(P239&lt;&gt;"",SUMIF(L239:L276,L239,N239:N276),"")</f>
        <v/>
      </c>
      <c r="R239" s="86" t="str">
        <f>IF(P239&lt;&gt;"",SUMIF(L239:L276,L239,O239:O276),"")</f>
        <v/>
      </c>
    </row>
    <row r="240" spans="1:18" ht="13.8" customHeight="1" x14ac:dyDescent="0.25">
      <c r="A240" s="301" t="s">
        <v>31</v>
      </c>
      <c r="B240" s="303" t="s">
        <v>605</v>
      </c>
      <c r="C240" s="301" t="str">
        <f>VLOOKUP(B240,INSUMOS!$A:$I,2,FALSE)</f>
        <v>SINAPI</v>
      </c>
      <c r="D240" s="301" t="str">
        <f>VLOOKUP(B240,INSUMOS!$A:$I,3,FALSE)</f>
        <v>SELADOR ACRILICO PAREDES INTERNAS/EXTERNAS</v>
      </c>
      <c r="E240" s="361" t="str">
        <f>VLOOKUP(B240,INSUMOS!$A:$I,4,FALSE)</f>
        <v>Material</v>
      </c>
      <c r="F240" s="361"/>
      <c r="G240" s="302" t="str">
        <f>VLOOKUP(B240,INSUMOS!$A:$I,5,FALSE)</f>
        <v>L</v>
      </c>
      <c r="H240" s="305">
        <v>0.16</v>
      </c>
      <c r="I240" s="304">
        <f>VLOOKUP(B240,INSUMOS!$A:$I,8,FALSE)</f>
        <v>8.06</v>
      </c>
      <c r="J240" s="304">
        <f t="shared" si="40"/>
        <v>1.28</v>
      </c>
      <c r="L240" s="113">
        <f t="shared" si="35"/>
        <v>20</v>
      </c>
      <c r="M240" s="85">
        <f t="shared" si="36"/>
        <v>1.28</v>
      </c>
      <c r="N240" s="86" t="str">
        <f t="shared" si="37"/>
        <v/>
      </c>
      <c r="O240" s="86">
        <f t="shared" si="41"/>
        <v>1.28</v>
      </c>
      <c r="P240" s="87" t="str">
        <f t="shared" si="38"/>
        <v/>
      </c>
      <c r="Q240" s="86" t="str">
        <f>IF(P240&lt;&gt;"",SUMIF(L240:L276,L240,N240:N276),"")</f>
        <v/>
      </c>
      <c r="R240" s="86" t="str">
        <f>IF(P240&lt;&gt;"",SUMIF(L240:L276,L240,O240:O276),"")</f>
        <v/>
      </c>
    </row>
    <row r="241" spans="1:18" x14ac:dyDescent="0.25">
      <c r="A241" s="301" t="s">
        <v>31</v>
      </c>
      <c r="B241" s="303" t="s">
        <v>368</v>
      </c>
      <c r="C241" s="301" t="str">
        <f>VLOOKUP(B241,INSUMOS!$A:$I,2,FALSE)</f>
        <v>SINAPI</v>
      </c>
      <c r="D241" s="301" t="str">
        <f>VLOOKUP(B241,INSUMOS!$A:$I,3,FALSE)</f>
        <v>LONA PLASTICA EXTRA FORTE PRETA, E = 200 MICRA</v>
      </c>
      <c r="E241" s="361" t="str">
        <f>VLOOKUP(B241,INSUMOS!$A:$I,4,FALSE)</f>
        <v>Material</v>
      </c>
      <c r="F241" s="361"/>
      <c r="G241" s="302" t="str">
        <f>VLOOKUP(B241,INSUMOS!$A:$I,5,FALSE)</f>
        <v>m²</v>
      </c>
      <c r="H241" s="305">
        <v>4</v>
      </c>
      <c r="I241" s="304">
        <f>VLOOKUP(B241,INSUMOS!$A:$I,8,FALSE)</f>
        <v>1.22</v>
      </c>
      <c r="J241" s="304">
        <f t="shared" si="40"/>
        <v>4.88</v>
      </c>
      <c r="L241" s="113">
        <f t="shared" si="35"/>
        <v>20</v>
      </c>
      <c r="M241" s="85">
        <f t="shared" si="36"/>
        <v>4.88</v>
      </c>
      <c r="N241" s="86" t="str">
        <f t="shared" si="37"/>
        <v/>
      </c>
      <c r="O241" s="86">
        <f t="shared" si="41"/>
        <v>4.88</v>
      </c>
      <c r="P241" s="87" t="str">
        <f t="shared" si="38"/>
        <v/>
      </c>
      <c r="Q241" s="86" t="str">
        <f>IF(P241&lt;&gt;"",SUMIF(L241:L276,L241,N241:N276),"")</f>
        <v/>
      </c>
      <c r="R241" s="86" t="str">
        <f>IF(P241&lt;&gt;"",SUMIF(L241:L276,L241,O241:O276),"")</f>
        <v/>
      </c>
    </row>
    <row r="242" spans="1:18" x14ac:dyDescent="0.25">
      <c r="A242" s="309"/>
      <c r="B242" s="309"/>
      <c r="C242" s="309"/>
      <c r="D242" s="309"/>
      <c r="E242" s="309"/>
      <c r="F242" s="310"/>
      <c r="G242" s="309"/>
      <c r="H242" s="310"/>
      <c r="I242" s="309"/>
      <c r="J242" s="310"/>
      <c r="L242" s="113">
        <f t="shared" si="35"/>
        <v>20</v>
      </c>
      <c r="M242" s="85" t="str">
        <f t="shared" si="36"/>
        <v/>
      </c>
      <c r="N242" s="86" t="str">
        <f t="shared" si="37"/>
        <v/>
      </c>
      <c r="O242" s="86" t="str">
        <f t="shared" si="41"/>
        <v/>
      </c>
      <c r="P242" s="87" t="str">
        <f t="shared" si="38"/>
        <v/>
      </c>
      <c r="Q242" s="86" t="str">
        <f>IF(P242&lt;&gt;"",SUMIF(L242:L276,L242,N242:N276),"")</f>
        <v/>
      </c>
      <c r="R242" s="86" t="str">
        <f>IF(P242&lt;&gt;"",SUMIF(L242:L276,L242,O242:O276),"")</f>
        <v/>
      </c>
    </row>
    <row r="243" spans="1:18" x14ac:dyDescent="0.25">
      <c r="A243" s="309"/>
      <c r="B243" s="309"/>
      <c r="C243" s="309"/>
      <c r="D243" s="309"/>
      <c r="E243" s="309"/>
      <c r="F243" s="310"/>
      <c r="G243" s="309"/>
      <c r="H243" s="350" t="s">
        <v>39</v>
      </c>
      <c r="I243" s="350"/>
      <c r="J243" s="310">
        <f>TRUNC(SUMIF(L:L,$L243,M:M)*(1+$J$9),2)</f>
        <v>99.51</v>
      </c>
      <c r="L243" s="113">
        <f t="shared" si="35"/>
        <v>20</v>
      </c>
      <c r="M243" s="85" t="str">
        <f t="shared" si="36"/>
        <v/>
      </c>
      <c r="N243" s="86" t="str">
        <f t="shared" si="37"/>
        <v/>
      </c>
      <c r="O243" s="86" t="str">
        <f t="shared" si="41"/>
        <v/>
      </c>
      <c r="P243" s="87" t="str">
        <f t="shared" si="38"/>
        <v/>
      </c>
      <c r="Q243" s="86" t="str">
        <f>IF(P243&lt;&gt;"",SUMIF(L243:L276,L243,N243:N276),"")</f>
        <v/>
      </c>
      <c r="R243" s="86" t="str">
        <f>IF(P243&lt;&gt;"",SUMIF(L243:L276,L243,O243:O276),"")</f>
        <v/>
      </c>
    </row>
    <row r="244" spans="1:18" ht="14.4" thickBot="1" x14ac:dyDescent="0.3">
      <c r="A244" s="306"/>
      <c r="B244" s="306"/>
      <c r="C244" s="306"/>
      <c r="D244" s="306"/>
      <c r="E244" s="306"/>
      <c r="F244" s="306"/>
      <c r="G244" s="306" t="s">
        <v>40</v>
      </c>
      <c r="H244" s="308">
        <v>4</v>
      </c>
      <c r="I244" s="306" t="s">
        <v>41</v>
      </c>
      <c r="J244" s="307">
        <f>TRUNC(J243*H244,2)</f>
        <v>398.04</v>
      </c>
      <c r="L244" s="113">
        <f t="shared" si="35"/>
        <v>20</v>
      </c>
      <c r="M244" s="85" t="str">
        <f t="shared" si="36"/>
        <v/>
      </c>
      <c r="N244" s="86" t="str">
        <f t="shared" si="37"/>
        <v/>
      </c>
      <c r="O244" s="86" t="str">
        <f t="shared" si="41"/>
        <v/>
      </c>
      <c r="P244" s="87" t="str">
        <f t="shared" si="38"/>
        <v/>
      </c>
      <c r="Q244" s="86" t="str">
        <f>IF(P244&lt;&gt;"",SUMIF(L244:L276,L244,N244:N276),"")</f>
        <v/>
      </c>
      <c r="R244" s="86" t="str">
        <f>IF(P244&lt;&gt;"",SUMIF(L244:L276,L244,O244:O276),"")</f>
        <v/>
      </c>
    </row>
    <row r="245" spans="1:18" ht="14.25" customHeight="1" thickTop="1" x14ac:dyDescent="0.25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L245" s="113">
        <f t="shared" si="35"/>
        <v>21</v>
      </c>
      <c r="M245" s="85" t="str">
        <f t="shared" si="36"/>
        <v/>
      </c>
      <c r="N245" s="86" t="str">
        <f t="shared" si="37"/>
        <v/>
      </c>
      <c r="O245" s="86" t="str">
        <f t="shared" si="41"/>
        <v/>
      </c>
      <c r="P245" s="87" t="str">
        <f t="shared" si="38"/>
        <v/>
      </c>
      <c r="Q245" s="86" t="str">
        <f>IF(P245&lt;&gt;"",SUMIF(L245:L276,L245,N245:N276),"")</f>
        <v/>
      </c>
      <c r="R245" s="86" t="str">
        <f>IF(P245&lt;&gt;"",SUMIF(L245:L276,L245,O245:O276),"")</f>
        <v/>
      </c>
    </row>
    <row r="246" spans="1:18" x14ac:dyDescent="0.25">
      <c r="A246" s="287" t="s">
        <v>775</v>
      </c>
      <c r="B246" s="287"/>
      <c r="C246" s="287"/>
      <c r="D246" s="287" t="s">
        <v>776</v>
      </c>
      <c r="E246" s="287"/>
      <c r="F246" s="346"/>
      <c r="G246" s="346"/>
      <c r="H246" s="288"/>
      <c r="I246" s="287"/>
      <c r="J246" s="289"/>
      <c r="L246" s="113">
        <f t="shared" si="35"/>
        <v>21</v>
      </c>
      <c r="M246" s="85" t="str">
        <f t="shared" si="36"/>
        <v/>
      </c>
      <c r="N246" s="86" t="str">
        <f t="shared" si="37"/>
        <v/>
      </c>
      <c r="O246" s="86" t="str">
        <f t="shared" si="41"/>
        <v/>
      </c>
      <c r="P246" s="87" t="str">
        <f t="shared" si="38"/>
        <v/>
      </c>
      <c r="Q246" s="86" t="str">
        <f>IF(P246&lt;&gt;"",SUMIF(L246:L276,L246,N246:N276),"")</f>
        <v/>
      </c>
      <c r="R246" s="86" t="str">
        <f>IF(P246&lt;&gt;"",SUMIF(L246:L276,L246,O246:O276),"")</f>
        <v/>
      </c>
    </row>
    <row r="247" spans="1:18" x14ac:dyDescent="0.25">
      <c r="A247" s="284" t="s">
        <v>716</v>
      </c>
      <c r="B247" s="286" t="s">
        <v>1</v>
      </c>
      <c r="C247" s="284" t="s">
        <v>2</v>
      </c>
      <c r="D247" s="284" t="s">
        <v>3</v>
      </c>
      <c r="E247" s="347" t="s">
        <v>19</v>
      </c>
      <c r="F247" s="347"/>
      <c r="G247" s="285" t="s">
        <v>4</v>
      </c>
      <c r="H247" s="286" t="s">
        <v>5</v>
      </c>
      <c r="I247" s="286" t="s">
        <v>6</v>
      </c>
      <c r="J247" s="286" t="s">
        <v>7</v>
      </c>
      <c r="L247" s="113">
        <f t="shared" si="35"/>
        <v>21</v>
      </c>
      <c r="M247" s="85" t="str">
        <f t="shared" si="36"/>
        <v/>
      </c>
      <c r="N247" s="86" t="str">
        <f t="shared" si="37"/>
        <v/>
      </c>
      <c r="O247" s="86" t="str">
        <f t="shared" si="41"/>
        <v/>
      </c>
      <c r="P247" s="87" t="str">
        <f t="shared" si="38"/>
        <v/>
      </c>
      <c r="Q247" s="86" t="str">
        <f>IF(P247&lt;&gt;"",SUMIF(L247:L276,L247,N247:N276),"")</f>
        <v/>
      </c>
      <c r="R247" s="86" t="str">
        <f>IF(P247&lt;&gt;"",SUMIF(L247:L276,L247,O247:O276),"")</f>
        <v/>
      </c>
    </row>
    <row r="248" spans="1:18" ht="26.4" customHeight="1" x14ac:dyDescent="0.25">
      <c r="A248" s="290" t="s">
        <v>20</v>
      </c>
      <c r="B248" s="292" t="s">
        <v>717</v>
      </c>
      <c r="C248" s="290" t="s">
        <v>13</v>
      </c>
      <c r="D248" s="290" t="s">
        <v>718</v>
      </c>
      <c r="E248" s="362" t="s">
        <v>315</v>
      </c>
      <c r="F248" s="362"/>
      <c r="G248" s="291" t="s">
        <v>719</v>
      </c>
      <c r="H248" s="294">
        <v>1</v>
      </c>
      <c r="I248" s="293">
        <f>SUMIF(L:L,$L248,M:M)</f>
        <v>61.17</v>
      </c>
      <c r="J248" s="293">
        <f>TRUNC(H248*I248,2)</f>
        <v>61.17</v>
      </c>
      <c r="L248" s="113">
        <f t="shared" si="35"/>
        <v>21</v>
      </c>
      <c r="M248" s="85" t="str">
        <f t="shared" si="36"/>
        <v/>
      </c>
      <c r="N248" s="86" t="str">
        <f t="shared" si="37"/>
        <v/>
      </c>
      <c r="O248" s="86" t="str">
        <f t="shared" si="41"/>
        <v/>
      </c>
      <c r="P248" s="87" t="str">
        <f t="shared" si="38"/>
        <v xml:space="preserve"> 2.8.1 </v>
      </c>
      <c r="Q248" s="86">
        <f>IF(P248&lt;&gt;"",SUMIF(L248:L276,L248,N248:N276),"")</f>
        <v>61.17</v>
      </c>
      <c r="R248" s="86">
        <f>IF(P248&lt;&gt;"",SUMIF(L248:L276,L248,O248:O276),"")</f>
        <v>0</v>
      </c>
    </row>
    <row r="249" spans="1:18" ht="25.5" customHeight="1" x14ac:dyDescent="0.25">
      <c r="A249" s="296" t="s">
        <v>22</v>
      </c>
      <c r="B249" s="298" t="s">
        <v>650</v>
      </c>
      <c r="C249" s="296" t="s">
        <v>10</v>
      </c>
      <c r="D249" s="296" t="s">
        <v>651</v>
      </c>
      <c r="E249" s="363" t="s">
        <v>27</v>
      </c>
      <c r="F249" s="363"/>
      <c r="G249" s="297" t="s">
        <v>28</v>
      </c>
      <c r="H249" s="300">
        <v>0.5</v>
      </c>
      <c r="I249" s="299">
        <f>SUMIFS('ANALÍTICA AUXILIARES'!J:J,'ANALÍTICA AUXILIARES'!A:A,"Composição",'ANALÍTICA AUXILIARES'!B:B,$B249)</f>
        <v>110.31</v>
      </c>
      <c r="J249" s="299">
        <f>TRUNC(H249*I249,2)</f>
        <v>55.15</v>
      </c>
      <c r="L249" s="113">
        <f t="shared" si="35"/>
        <v>21</v>
      </c>
      <c r="M249" s="85">
        <f t="shared" si="36"/>
        <v>55.15</v>
      </c>
      <c r="N249" s="86">
        <f t="shared" si="37"/>
        <v>55.15</v>
      </c>
      <c r="O249" s="86" t="str">
        <f t="shared" si="41"/>
        <v/>
      </c>
      <c r="P249" s="87" t="str">
        <f t="shared" si="38"/>
        <v/>
      </c>
      <c r="Q249" s="86" t="str">
        <f>IF(P249&lt;&gt;"",SUMIF(L249:L276,L249,N249:N276),"")</f>
        <v/>
      </c>
      <c r="R249" s="86" t="str">
        <f>IF(P249&lt;&gt;"",SUMIF(L249:L276,L249,O249:O276),"")</f>
        <v/>
      </c>
    </row>
    <row r="250" spans="1:18" ht="13.8" customHeight="1" x14ac:dyDescent="0.25">
      <c r="A250" s="296" t="s">
        <v>22</v>
      </c>
      <c r="B250" s="298" t="s">
        <v>313</v>
      </c>
      <c r="C250" s="296" t="s">
        <v>10</v>
      </c>
      <c r="D250" s="296" t="s">
        <v>314</v>
      </c>
      <c r="E250" s="363" t="s">
        <v>27</v>
      </c>
      <c r="F250" s="363"/>
      <c r="G250" s="297" t="s">
        <v>28</v>
      </c>
      <c r="H250" s="300">
        <v>0.25</v>
      </c>
      <c r="I250" s="299">
        <f>SUMIFS('ANALÍTICA AUXILIARES'!J:J,'ANALÍTICA AUXILIARES'!A:A,"Composição",'ANALÍTICA AUXILIARES'!B:B,$B250)</f>
        <v>24.1</v>
      </c>
      <c r="J250" s="299">
        <f>TRUNC(H250*I250,2)</f>
        <v>6.02</v>
      </c>
      <c r="L250" s="113">
        <f t="shared" si="35"/>
        <v>21</v>
      </c>
      <c r="M250" s="85">
        <f t="shared" si="36"/>
        <v>6.02</v>
      </c>
      <c r="N250" s="86">
        <f t="shared" si="37"/>
        <v>6.02</v>
      </c>
      <c r="O250" s="86" t="str">
        <f t="shared" si="41"/>
        <v/>
      </c>
      <c r="P250" s="87" t="str">
        <f t="shared" si="38"/>
        <v/>
      </c>
      <c r="Q250" s="86" t="str">
        <f>IF(P250&lt;&gt;"",SUMIF(L250:L276,L250,N250:N276),"")</f>
        <v/>
      </c>
      <c r="R250" s="86" t="str">
        <f>IF(P250&lt;&gt;"",SUMIF(L250:L276,L250,O250:O276),"")</f>
        <v/>
      </c>
    </row>
    <row r="251" spans="1:18" x14ac:dyDescent="0.25">
      <c r="A251" s="309"/>
      <c r="B251" s="309"/>
      <c r="C251" s="309"/>
      <c r="D251" s="309"/>
      <c r="E251" s="309"/>
      <c r="F251" s="310"/>
      <c r="G251" s="309"/>
      <c r="H251" s="310"/>
      <c r="I251" s="309"/>
      <c r="J251" s="310"/>
      <c r="L251" s="113">
        <f t="shared" si="35"/>
        <v>21</v>
      </c>
      <c r="M251" s="85" t="str">
        <f t="shared" si="36"/>
        <v/>
      </c>
      <c r="N251" s="86" t="str">
        <f t="shared" si="37"/>
        <v/>
      </c>
      <c r="O251" s="86" t="str">
        <f t="shared" si="41"/>
        <v/>
      </c>
      <c r="P251" s="87" t="str">
        <f t="shared" si="38"/>
        <v/>
      </c>
      <c r="Q251" s="86" t="str">
        <f>IF(P251&lt;&gt;"",SUMIF(L251:L276,L251,N251:N276),"")</f>
        <v/>
      </c>
      <c r="R251" s="86" t="str">
        <f>IF(P251&lt;&gt;"",SUMIF(L251:L276,L251,O251:O276),"")</f>
        <v/>
      </c>
    </row>
    <row r="252" spans="1:18" x14ac:dyDescent="0.25">
      <c r="A252" s="309"/>
      <c r="B252" s="309"/>
      <c r="C252" s="309"/>
      <c r="D252" s="309"/>
      <c r="E252" s="309"/>
      <c r="F252" s="310"/>
      <c r="G252" s="309"/>
      <c r="H252" s="350" t="s">
        <v>39</v>
      </c>
      <c r="I252" s="350"/>
      <c r="J252" s="310">
        <f>TRUNC(SUMIF(L:L,$L252,M:M)*(1+$J$9),2)</f>
        <v>74.760000000000005</v>
      </c>
      <c r="L252" s="113">
        <f t="shared" si="35"/>
        <v>21</v>
      </c>
      <c r="M252" s="85" t="str">
        <f t="shared" si="36"/>
        <v/>
      </c>
      <c r="N252" s="86" t="str">
        <f t="shared" si="37"/>
        <v/>
      </c>
      <c r="O252" s="86" t="str">
        <f t="shared" si="41"/>
        <v/>
      </c>
      <c r="P252" s="87" t="str">
        <f t="shared" si="38"/>
        <v/>
      </c>
      <c r="Q252" s="86" t="str">
        <f>IF(P252&lt;&gt;"",SUMIF(L252:L276,L252,N252:N276),"")</f>
        <v/>
      </c>
      <c r="R252" s="86" t="str">
        <f>IF(P252&lt;&gt;"",SUMIF(L252:L276,L252,O252:O276),"")</f>
        <v/>
      </c>
    </row>
    <row r="253" spans="1:18" ht="14.4" thickBot="1" x14ac:dyDescent="0.3">
      <c r="A253" s="306"/>
      <c r="B253" s="306"/>
      <c r="C253" s="306"/>
      <c r="D253" s="306"/>
      <c r="E253" s="306"/>
      <c r="F253" s="306"/>
      <c r="G253" s="306" t="s">
        <v>40</v>
      </c>
      <c r="H253" s="308">
        <v>81.599999999999994</v>
      </c>
      <c r="I253" s="306" t="s">
        <v>41</v>
      </c>
      <c r="J253" s="307">
        <f>TRUNC(J252*H253,2)</f>
        <v>6100.41</v>
      </c>
      <c r="L253" s="113">
        <f t="shared" si="35"/>
        <v>21</v>
      </c>
      <c r="M253" s="85" t="str">
        <f t="shared" si="36"/>
        <v/>
      </c>
      <c r="N253" s="86" t="str">
        <f t="shared" si="37"/>
        <v/>
      </c>
      <c r="O253" s="86" t="str">
        <f t="shared" si="41"/>
        <v/>
      </c>
      <c r="P253" s="87" t="str">
        <f t="shared" si="38"/>
        <v/>
      </c>
      <c r="Q253" s="86" t="str">
        <f>IF(P253&lt;&gt;"",SUMIF(L253:L276,L253,N253:N276),"")</f>
        <v/>
      </c>
      <c r="R253" s="86" t="str">
        <f>IF(P253&lt;&gt;"",SUMIF(L253:L276,L253,O253:O276),"")</f>
        <v/>
      </c>
    </row>
    <row r="254" spans="1:18" ht="14.25" customHeight="1" thickTop="1" x14ac:dyDescent="0.25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L254" s="113">
        <f t="shared" si="35"/>
        <v>22</v>
      </c>
      <c r="M254" s="85" t="str">
        <f t="shared" si="36"/>
        <v/>
      </c>
      <c r="N254" s="86" t="str">
        <f t="shared" si="37"/>
        <v/>
      </c>
      <c r="O254" s="86" t="str">
        <f t="shared" si="41"/>
        <v/>
      </c>
      <c r="P254" s="87" t="str">
        <f t="shared" si="38"/>
        <v/>
      </c>
      <c r="Q254" s="86" t="str">
        <f>IF(P254&lt;&gt;"",SUMIF(L254:L276,L254,N254:N276),"")</f>
        <v/>
      </c>
      <c r="R254" s="86" t="str">
        <f>IF(P254&lt;&gt;"",SUMIF(L254:L276,L254,O254:O276),"")</f>
        <v/>
      </c>
    </row>
    <row r="255" spans="1:18" x14ac:dyDescent="0.25">
      <c r="A255" s="287" t="s">
        <v>777</v>
      </c>
      <c r="B255" s="287"/>
      <c r="C255" s="287"/>
      <c r="D255" s="287" t="s">
        <v>722</v>
      </c>
      <c r="E255" s="287"/>
      <c r="F255" s="346"/>
      <c r="G255" s="346"/>
      <c r="H255" s="288"/>
      <c r="I255" s="287"/>
      <c r="J255" s="289"/>
      <c r="L255" s="113">
        <f t="shared" si="35"/>
        <v>22</v>
      </c>
      <c r="M255" s="85" t="str">
        <f t="shared" si="36"/>
        <v/>
      </c>
      <c r="N255" s="86" t="str">
        <f t="shared" si="37"/>
        <v/>
      </c>
      <c r="O255" s="86" t="str">
        <f t="shared" si="41"/>
        <v/>
      </c>
      <c r="P255" s="87" t="str">
        <f t="shared" si="38"/>
        <v/>
      </c>
      <c r="Q255" s="86" t="str">
        <f>IF(P255&lt;&gt;"",SUMIF(L255:L276,L255,N255:N276),"")</f>
        <v/>
      </c>
      <c r="R255" s="86" t="str">
        <f>IF(P255&lt;&gt;"",SUMIF(L255:L276,L255,O255:O276),"")</f>
        <v/>
      </c>
    </row>
    <row r="256" spans="1:18" x14ac:dyDescent="0.25">
      <c r="A256" s="284" t="s">
        <v>720</v>
      </c>
      <c r="B256" s="286" t="s">
        <v>1</v>
      </c>
      <c r="C256" s="284" t="s">
        <v>2</v>
      </c>
      <c r="D256" s="284" t="s">
        <v>3</v>
      </c>
      <c r="E256" s="347" t="s">
        <v>19</v>
      </c>
      <c r="F256" s="347"/>
      <c r="G256" s="285" t="s">
        <v>4</v>
      </c>
      <c r="H256" s="286" t="s">
        <v>5</v>
      </c>
      <c r="I256" s="286" t="s">
        <v>6</v>
      </c>
      <c r="J256" s="286" t="s">
        <v>7</v>
      </c>
      <c r="L256" s="113">
        <f t="shared" si="35"/>
        <v>22</v>
      </c>
      <c r="M256" s="85" t="str">
        <f t="shared" si="36"/>
        <v/>
      </c>
      <c r="N256" s="86" t="str">
        <f t="shared" si="37"/>
        <v/>
      </c>
      <c r="O256" s="86" t="str">
        <f t="shared" si="41"/>
        <v/>
      </c>
      <c r="P256" s="87" t="str">
        <f t="shared" si="38"/>
        <v/>
      </c>
      <c r="Q256" s="86" t="str">
        <f>IF(P256&lt;&gt;"",SUMIF(L256:L276,L256,N256:N276),"")</f>
        <v/>
      </c>
      <c r="R256" s="86" t="str">
        <f>IF(P256&lt;&gt;"",SUMIF(L256:L276,L256,O256:O276),"")</f>
        <v/>
      </c>
    </row>
    <row r="257" spans="1:18" ht="26.4" x14ac:dyDescent="0.25">
      <c r="A257" s="290" t="s">
        <v>20</v>
      </c>
      <c r="B257" s="292" t="s">
        <v>721</v>
      </c>
      <c r="C257" s="290" t="s">
        <v>13</v>
      </c>
      <c r="D257" s="290" t="s">
        <v>722</v>
      </c>
      <c r="E257" s="362" t="s">
        <v>315</v>
      </c>
      <c r="F257" s="362"/>
      <c r="G257" s="291" t="s">
        <v>375</v>
      </c>
      <c r="H257" s="294">
        <v>1</v>
      </c>
      <c r="I257" s="293">
        <f>SUMIF(L:L,$L257,M:M)</f>
        <v>1480.8</v>
      </c>
      <c r="J257" s="293">
        <f>TRUNC(H257*I257,2)</f>
        <v>1480.8</v>
      </c>
      <c r="L257" s="113">
        <f t="shared" si="35"/>
        <v>22</v>
      </c>
      <c r="M257" s="85" t="str">
        <f t="shared" si="36"/>
        <v/>
      </c>
      <c r="N257" s="86" t="str">
        <f t="shared" si="37"/>
        <v/>
      </c>
      <c r="O257" s="86" t="str">
        <f t="shared" si="41"/>
        <v/>
      </c>
      <c r="P257" s="87" t="str">
        <f t="shared" si="38"/>
        <v xml:space="preserve"> 2.9.1 </v>
      </c>
      <c r="Q257" s="86">
        <f>IF(P257&lt;&gt;"",SUMIF(L257:L276,L257,N257:N276),"")</f>
        <v>1480.8</v>
      </c>
      <c r="R257" s="86">
        <f>IF(P257&lt;&gt;"",SUMIF(L257:L276,L257,O257:O276),"")</f>
        <v>0</v>
      </c>
    </row>
    <row r="258" spans="1:18" ht="25.5" customHeight="1" x14ac:dyDescent="0.25">
      <c r="A258" s="296" t="s">
        <v>22</v>
      </c>
      <c r="B258" s="298" t="s">
        <v>650</v>
      </c>
      <c r="C258" s="296" t="s">
        <v>10</v>
      </c>
      <c r="D258" s="296" t="s">
        <v>651</v>
      </c>
      <c r="E258" s="363" t="s">
        <v>27</v>
      </c>
      <c r="F258" s="363"/>
      <c r="G258" s="297" t="s">
        <v>28</v>
      </c>
      <c r="H258" s="300">
        <v>12</v>
      </c>
      <c r="I258" s="299">
        <f>SUMIFS('ANALÍTICA AUXILIARES'!J:J,'ANALÍTICA AUXILIARES'!A:A,"Composição",'ANALÍTICA AUXILIARES'!B:B,$B258)</f>
        <v>110.31</v>
      </c>
      <c r="J258" s="299">
        <f>TRUNC(H258*I258,2)</f>
        <v>1323.72</v>
      </c>
      <c r="L258" s="113">
        <f t="shared" si="35"/>
        <v>22</v>
      </c>
      <c r="M258" s="85">
        <f t="shared" si="36"/>
        <v>1323.72</v>
      </c>
      <c r="N258" s="86">
        <f t="shared" si="37"/>
        <v>1323.72</v>
      </c>
      <c r="O258" s="86" t="str">
        <f t="shared" si="41"/>
        <v/>
      </c>
      <c r="P258" s="87" t="str">
        <f t="shared" si="38"/>
        <v/>
      </c>
      <c r="Q258" s="86" t="str">
        <f>IF(P258&lt;&gt;"",SUMIF(L258:L276,L258,N258:N276),"")</f>
        <v/>
      </c>
      <c r="R258" s="86" t="str">
        <f>IF(P258&lt;&gt;"",SUMIF(L258:L276,L258,O258:O276),"")</f>
        <v/>
      </c>
    </row>
    <row r="259" spans="1:18" ht="26.4" x14ac:dyDescent="0.25">
      <c r="A259" s="296" t="s">
        <v>22</v>
      </c>
      <c r="B259" s="298" t="s">
        <v>652</v>
      </c>
      <c r="C259" s="296" t="s">
        <v>10</v>
      </c>
      <c r="D259" s="296" t="s">
        <v>653</v>
      </c>
      <c r="E259" s="363" t="s">
        <v>27</v>
      </c>
      <c r="F259" s="363"/>
      <c r="G259" s="297" t="s">
        <v>28</v>
      </c>
      <c r="H259" s="300">
        <v>6</v>
      </c>
      <c r="I259" s="299">
        <f>SUMIFS('ANALÍTICA AUXILIARES'!J:J,'ANALÍTICA AUXILIARES'!A:A,"Composição",'ANALÍTICA AUXILIARES'!B:B,$B259)</f>
        <v>26.18</v>
      </c>
      <c r="J259" s="299">
        <f>TRUNC(H259*I259,2)</f>
        <v>157.08000000000001</v>
      </c>
      <c r="L259" s="113">
        <f t="shared" si="35"/>
        <v>22</v>
      </c>
      <c r="M259" s="85">
        <f t="shared" si="36"/>
        <v>157.08000000000001</v>
      </c>
      <c r="N259" s="86">
        <f t="shared" si="37"/>
        <v>157.08000000000001</v>
      </c>
      <c r="O259" s="86" t="str">
        <f t="shared" si="41"/>
        <v/>
      </c>
      <c r="P259" s="87" t="str">
        <f t="shared" si="38"/>
        <v/>
      </c>
      <c r="Q259" s="86" t="str">
        <f>IF(P259&lt;&gt;"",SUMIF(L259:L276,L259,N259:N276),"")</f>
        <v/>
      </c>
      <c r="R259" s="86" t="str">
        <f>IF(P259&lt;&gt;"",SUMIF(L259:L276,L259,O259:O276),"")</f>
        <v/>
      </c>
    </row>
    <row r="260" spans="1:18" x14ac:dyDescent="0.25">
      <c r="A260" s="309"/>
      <c r="B260" s="309"/>
      <c r="C260" s="309"/>
      <c r="D260" s="309"/>
      <c r="E260" s="309"/>
      <c r="F260" s="310"/>
      <c r="G260" s="309"/>
      <c r="H260" s="310"/>
      <c r="I260" s="309"/>
      <c r="J260" s="310"/>
      <c r="L260" s="113">
        <f t="shared" si="35"/>
        <v>22</v>
      </c>
      <c r="M260" s="85" t="str">
        <f t="shared" si="36"/>
        <v/>
      </c>
      <c r="N260" s="86" t="str">
        <f t="shared" si="37"/>
        <v/>
      </c>
      <c r="O260" s="86" t="str">
        <f t="shared" si="41"/>
        <v/>
      </c>
      <c r="P260" s="87" t="str">
        <f t="shared" si="38"/>
        <v/>
      </c>
      <c r="Q260" s="86" t="str">
        <f>IF(P260&lt;&gt;"",SUMIF(L260:L276,L260,N260:N276),"")</f>
        <v/>
      </c>
      <c r="R260" s="86" t="str">
        <f>IF(P260&lt;&gt;"",SUMIF(L260:L276,L260,O260:O276),"")</f>
        <v/>
      </c>
    </row>
    <row r="261" spans="1:18" ht="13.8" customHeight="1" x14ac:dyDescent="0.25">
      <c r="A261" s="309"/>
      <c r="B261" s="309"/>
      <c r="C261" s="309"/>
      <c r="D261" s="309"/>
      <c r="E261" s="309"/>
      <c r="F261" s="310"/>
      <c r="G261" s="309"/>
      <c r="H261" s="350" t="s">
        <v>39</v>
      </c>
      <c r="I261" s="350"/>
      <c r="J261" s="310">
        <f>TRUNC(SUMIF(L:L,$L261,M:M)*(1+$J$9),2)</f>
        <v>1809.83</v>
      </c>
      <c r="L261" s="113">
        <f t="shared" si="35"/>
        <v>22</v>
      </c>
      <c r="M261" s="85" t="str">
        <f t="shared" si="36"/>
        <v/>
      </c>
      <c r="N261" s="86" t="str">
        <f t="shared" si="37"/>
        <v/>
      </c>
      <c r="O261" s="86" t="str">
        <f t="shared" si="41"/>
        <v/>
      </c>
      <c r="P261" s="87" t="str">
        <f t="shared" si="38"/>
        <v/>
      </c>
      <c r="Q261" s="86" t="str">
        <f>IF(P261&lt;&gt;"",SUMIF(L261:L276,L261,N261:N276),"")</f>
        <v/>
      </c>
      <c r="R261" s="86" t="str">
        <f>IF(P261&lt;&gt;"",SUMIF(L261:L276,L261,O261:O276),"")</f>
        <v/>
      </c>
    </row>
    <row r="262" spans="1:18" ht="14.4" thickBot="1" x14ac:dyDescent="0.3">
      <c r="A262" s="306"/>
      <c r="B262" s="306"/>
      <c r="C262" s="306"/>
      <c r="D262" s="306"/>
      <c r="E262" s="306"/>
      <c r="F262" s="306"/>
      <c r="G262" s="306" t="s">
        <v>40</v>
      </c>
      <c r="H262" s="308">
        <v>1</v>
      </c>
      <c r="I262" s="306" t="s">
        <v>41</v>
      </c>
      <c r="J262" s="307">
        <f>TRUNC(J261*H262,2)</f>
        <v>1809.83</v>
      </c>
      <c r="L262" s="113">
        <f t="shared" si="35"/>
        <v>22</v>
      </c>
      <c r="M262" s="85" t="str">
        <f t="shared" si="36"/>
        <v/>
      </c>
      <c r="N262" s="86" t="str">
        <f t="shared" si="37"/>
        <v/>
      </c>
      <c r="O262" s="86" t="str">
        <f t="shared" si="41"/>
        <v/>
      </c>
      <c r="P262" s="87" t="str">
        <f t="shared" si="38"/>
        <v/>
      </c>
      <c r="Q262" s="86" t="str">
        <f>IF(P262&lt;&gt;"",SUMIF(L262:L276,L262,N262:N276),"")</f>
        <v/>
      </c>
      <c r="R262" s="86" t="str">
        <f>IF(P262&lt;&gt;"",SUMIF(L262:L276,L262,O262:O276),"")</f>
        <v/>
      </c>
    </row>
    <row r="263" spans="1:18" ht="14.25" customHeight="1" thickTop="1" x14ac:dyDescent="0.25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L263" s="113">
        <f t="shared" si="35"/>
        <v>23</v>
      </c>
      <c r="M263" s="85" t="str">
        <f t="shared" si="36"/>
        <v/>
      </c>
      <c r="N263" s="86" t="str">
        <f t="shared" si="37"/>
        <v/>
      </c>
      <c r="O263" s="86" t="str">
        <f t="shared" si="41"/>
        <v/>
      </c>
      <c r="P263" s="87" t="str">
        <f t="shared" si="38"/>
        <v/>
      </c>
      <c r="Q263" s="86" t="str">
        <f>IF(P263&lt;&gt;"",SUMIF(L263:L276,L263,N263:N276),"")</f>
        <v/>
      </c>
      <c r="R263" s="86" t="str">
        <f>IF(P263&lt;&gt;"",SUMIF(L263:L276,L263,O263:O276),"")</f>
        <v/>
      </c>
    </row>
    <row r="264" spans="1:18" x14ac:dyDescent="0.25">
      <c r="A264" s="287" t="s">
        <v>778</v>
      </c>
      <c r="B264" s="287"/>
      <c r="C264" s="287"/>
      <c r="D264" s="287" t="s">
        <v>779</v>
      </c>
      <c r="E264" s="287"/>
      <c r="F264" s="346"/>
      <c r="G264" s="346"/>
      <c r="H264" s="288"/>
      <c r="I264" s="287"/>
      <c r="J264" s="289"/>
      <c r="L264" s="113">
        <f t="shared" si="35"/>
        <v>23</v>
      </c>
      <c r="M264" s="85" t="str">
        <f t="shared" si="36"/>
        <v/>
      </c>
      <c r="N264" s="86" t="str">
        <f t="shared" si="37"/>
        <v/>
      </c>
      <c r="O264" s="86" t="str">
        <f t="shared" si="41"/>
        <v/>
      </c>
      <c r="P264" s="87" t="str">
        <f t="shared" si="38"/>
        <v/>
      </c>
      <c r="Q264" s="86" t="str">
        <f>IF(P264&lt;&gt;"",SUMIF(L264:L276,L264,N264:N276),"")</f>
        <v/>
      </c>
      <c r="R264" s="86" t="str">
        <f>IF(P264&lt;&gt;"",SUMIF(L264:L276,L264,O264:O276),"")</f>
        <v/>
      </c>
    </row>
    <row r="265" spans="1:18" x14ac:dyDescent="0.25">
      <c r="A265" s="287" t="s">
        <v>780</v>
      </c>
      <c r="B265" s="287"/>
      <c r="C265" s="287"/>
      <c r="D265" s="287" t="s">
        <v>781</v>
      </c>
      <c r="E265" s="287"/>
      <c r="F265" s="346"/>
      <c r="G265" s="346"/>
      <c r="H265" s="288"/>
      <c r="I265" s="287"/>
      <c r="J265" s="289"/>
      <c r="L265" s="113">
        <f t="shared" si="35"/>
        <v>23</v>
      </c>
      <c r="M265" s="85" t="str">
        <f t="shared" si="36"/>
        <v/>
      </c>
      <c r="N265" s="86" t="str">
        <f t="shared" si="37"/>
        <v/>
      </c>
      <c r="O265" s="86" t="str">
        <f t="shared" si="41"/>
        <v/>
      </c>
      <c r="P265" s="87" t="str">
        <f t="shared" si="38"/>
        <v/>
      </c>
      <c r="Q265" s="86" t="str">
        <f>IF(P265&lt;&gt;"",SUMIF(L265:L276,L265,N265:N276),"")</f>
        <v/>
      </c>
      <c r="R265" s="86" t="str">
        <f>IF(P265&lt;&gt;"",SUMIF(L265:L276,L265,O265:O276),"")</f>
        <v/>
      </c>
    </row>
    <row r="266" spans="1:18" x14ac:dyDescent="0.25">
      <c r="A266" s="284" t="s">
        <v>723</v>
      </c>
      <c r="B266" s="286" t="s">
        <v>1</v>
      </c>
      <c r="C266" s="284" t="s">
        <v>2</v>
      </c>
      <c r="D266" s="284" t="s">
        <v>3</v>
      </c>
      <c r="E266" s="347" t="s">
        <v>19</v>
      </c>
      <c r="F266" s="347"/>
      <c r="G266" s="285" t="s">
        <v>4</v>
      </c>
      <c r="H266" s="286" t="s">
        <v>5</v>
      </c>
      <c r="I266" s="286" t="s">
        <v>6</v>
      </c>
      <c r="J266" s="286" t="s">
        <v>7</v>
      </c>
      <c r="L266" s="113">
        <f t="shared" si="35"/>
        <v>23</v>
      </c>
      <c r="M266" s="85" t="str">
        <f t="shared" si="36"/>
        <v/>
      </c>
      <c r="N266" s="86" t="str">
        <f t="shared" si="37"/>
        <v/>
      </c>
      <c r="O266" s="86" t="str">
        <f t="shared" si="41"/>
        <v/>
      </c>
      <c r="P266" s="87" t="str">
        <f t="shared" si="38"/>
        <v/>
      </c>
      <c r="Q266" s="86" t="str">
        <f>IF(P266&lt;&gt;"",SUMIF(L266:L276,L266,N266:N276),"")</f>
        <v/>
      </c>
      <c r="R266" s="86" t="str">
        <f>IF(P266&lt;&gt;"",SUMIF(L266:L276,L266,O266:O276),"")</f>
        <v/>
      </c>
    </row>
    <row r="267" spans="1:18" ht="25.5" customHeight="1" x14ac:dyDescent="0.25">
      <c r="A267" s="290" t="s">
        <v>20</v>
      </c>
      <c r="B267" s="292" t="s">
        <v>650</v>
      </c>
      <c r="C267" s="290" t="s">
        <v>10</v>
      </c>
      <c r="D267" s="290" t="s">
        <v>651</v>
      </c>
      <c r="E267" s="362" t="s">
        <v>27</v>
      </c>
      <c r="F267" s="362"/>
      <c r="G267" s="291" t="s">
        <v>28</v>
      </c>
      <c r="H267" s="294">
        <v>1</v>
      </c>
      <c r="I267" s="293">
        <f>SUMIF(L:L,$L267,M:M)</f>
        <v>110.25</v>
      </c>
      <c r="J267" s="293">
        <f t="shared" ref="J267:J272" si="42">TRUNC(H267*I267,2)</f>
        <v>110.25</v>
      </c>
      <c r="L267" s="113">
        <f t="shared" si="35"/>
        <v>23</v>
      </c>
      <c r="M267" s="85" t="str">
        <f t="shared" si="36"/>
        <v/>
      </c>
      <c r="N267" s="86">
        <f t="shared" si="37"/>
        <v>110.25</v>
      </c>
      <c r="O267" s="86" t="str">
        <f t="shared" si="41"/>
        <v/>
      </c>
      <c r="P267" s="87" t="str">
        <f t="shared" si="38"/>
        <v xml:space="preserve"> 3.1.1 </v>
      </c>
      <c r="Q267" s="86">
        <f>IF(P267&lt;&gt;"",SUMIF(L267:L276,L267,N267:N276),"")</f>
        <v>110.25</v>
      </c>
      <c r="R267" s="86">
        <f>IF(P267&lt;&gt;"",SUMIF(L267:L276,L267,O267:O276),"")</f>
        <v>110.25</v>
      </c>
    </row>
    <row r="268" spans="1:18" ht="26.4" x14ac:dyDescent="0.25">
      <c r="A268" s="296" t="s">
        <v>22</v>
      </c>
      <c r="B268" s="298" t="s">
        <v>724</v>
      </c>
      <c r="C268" s="296" t="s">
        <v>10</v>
      </c>
      <c r="D268" s="296" t="s">
        <v>725</v>
      </c>
      <c r="E268" s="363" t="s">
        <v>27</v>
      </c>
      <c r="F268" s="363"/>
      <c r="G268" s="297" t="s">
        <v>28</v>
      </c>
      <c r="H268" s="300">
        <v>1</v>
      </c>
      <c r="I268" s="299">
        <f>SUMIFS('ANALÍTICA AUXILIARES'!J:J,'ANALÍTICA AUXILIARES'!A:A,"Composição",'ANALÍTICA AUXILIARES'!B:B,$B268)</f>
        <v>2.58</v>
      </c>
      <c r="J268" s="299">
        <f t="shared" si="42"/>
        <v>2.58</v>
      </c>
      <c r="L268" s="113">
        <f t="shared" si="35"/>
        <v>23</v>
      </c>
      <c r="M268" s="85">
        <f t="shared" si="36"/>
        <v>2.58</v>
      </c>
      <c r="N268" s="86" t="str">
        <f t="shared" si="37"/>
        <v/>
      </c>
      <c r="O268" s="86">
        <f t="shared" si="41"/>
        <v>2.58</v>
      </c>
      <c r="P268" s="87" t="str">
        <f t="shared" si="38"/>
        <v/>
      </c>
      <c r="Q268" s="86" t="str">
        <f>IF(P268&lt;&gt;"",SUMIF(L268:L276,L268,N268:N276),"")</f>
        <v/>
      </c>
      <c r="R268" s="86" t="str">
        <f>IF(P268&lt;&gt;"",SUMIF(L268:L276,L268,O268:O276),"")</f>
        <v/>
      </c>
    </row>
    <row r="269" spans="1:18" ht="26.4" customHeight="1" x14ac:dyDescent="0.25">
      <c r="A269" s="301" t="s">
        <v>31</v>
      </c>
      <c r="B269" s="303" t="s">
        <v>378</v>
      </c>
      <c r="C269" s="301" t="str">
        <f>VLOOKUP(B269,INSUMOS!$A:$I,2,FALSE)</f>
        <v>SINAPI</v>
      </c>
      <c r="D269" s="301" t="str">
        <f>VLOOKUP(B269,INSUMOS!$A:$I,3,FALSE)</f>
        <v>ENGENHEIRO ELETRICISTA</v>
      </c>
      <c r="E269" s="361" t="str">
        <f>VLOOKUP(B269,INSUMOS!$A:$I,4,FALSE)</f>
        <v>Mão de Obra</v>
      </c>
      <c r="F269" s="361"/>
      <c r="G269" s="302" t="str">
        <f>VLOOKUP(B269,INSUMOS!$A:$I,5,FALSE)</f>
        <v>H</v>
      </c>
      <c r="H269" s="305">
        <v>1</v>
      </c>
      <c r="I269" s="304">
        <f>VLOOKUP(B269,INSUMOS!$A:$I,8,FALSE)</f>
        <v>106.56</v>
      </c>
      <c r="J269" s="304">
        <f t="shared" si="42"/>
        <v>106.56</v>
      </c>
      <c r="L269" s="113">
        <f t="shared" si="35"/>
        <v>23</v>
      </c>
      <c r="M269" s="85">
        <f t="shared" si="36"/>
        <v>106.56</v>
      </c>
      <c r="N269" s="86" t="str">
        <f t="shared" si="37"/>
        <v/>
      </c>
      <c r="O269" s="86">
        <f t="shared" si="41"/>
        <v>106.56</v>
      </c>
      <c r="P269" s="87" t="str">
        <f t="shared" si="38"/>
        <v/>
      </c>
      <c r="Q269" s="86" t="str">
        <f>IF(P269&lt;&gt;"",SUMIF(L269:L276,L269,N269:N276),"")</f>
        <v/>
      </c>
      <c r="R269" s="86" t="str">
        <f>IF(P269&lt;&gt;"",SUMIF(L269:L276,L269,O269:O276),"")</f>
        <v/>
      </c>
    </row>
    <row r="270" spans="1:18" ht="26.4" x14ac:dyDescent="0.25">
      <c r="A270" s="301" t="s">
        <v>31</v>
      </c>
      <c r="B270" s="303" t="s">
        <v>294</v>
      </c>
      <c r="C270" s="301" t="str">
        <f>VLOOKUP(B270,INSUMOS!$A:$I,2,FALSE)</f>
        <v>SINAPI</v>
      </c>
      <c r="D270" s="301" t="str">
        <f>VLOOKUP(B270,INSUMOS!$A:$I,3,FALSE)</f>
        <v>EPI - FAMILIA ENGENHEIRO CIVIL - HORISTA (ENCARGOS COMPLEMENTARES - COLETADO CAIXA)</v>
      </c>
      <c r="E270" s="361" t="str">
        <f>VLOOKUP(B270,INSUMOS!$A:$I,4,FALSE)</f>
        <v>Equipamento</v>
      </c>
      <c r="F270" s="361"/>
      <c r="G270" s="302" t="str">
        <f>VLOOKUP(B270,INSUMOS!$A:$I,5,FALSE)</f>
        <v>H</v>
      </c>
      <c r="H270" s="305">
        <v>1</v>
      </c>
      <c r="I270" s="304">
        <f>VLOOKUP(B270,INSUMOS!$A:$I,8,FALSE)</f>
        <v>0.55000000000000004</v>
      </c>
      <c r="J270" s="304">
        <f t="shared" si="42"/>
        <v>0.55000000000000004</v>
      </c>
      <c r="L270" s="113">
        <f t="shared" ref="L270:L275" si="43">IF(AND(A271&lt;&gt;"",A270=""),L269+1,L269)</f>
        <v>23</v>
      </c>
      <c r="M270" s="85">
        <f t="shared" ref="M270:M276" si="44">IF(OR(A270="Insumo",A270="Composição Auxiliar"),J270,"")</f>
        <v>0.55000000000000004</v>
      </c>
      <c r="N270" s="86" t="str">
        <f t="shared" ref="N270:N276" si="45">IF(ISNUMBER(SEARCH("COM ENCARGOS COMPLEMENTARES",D270)),J270,"")</f>
        <v/>
      </c>
      <c r="O270" s="86">
        <f t="shared" ref="O270:O276" si="46">IF(N270&lt;&gt;"","",M270)</f>
        <v>0.55000000000000004</v>
      </c>
      <c r="P270" s="87" t="str">
        <f t="shared" ref="P270:P276" si="47">IF(A270="Composição",A269,"")</f>
        <v/>
      </c>
      <c r="Q270" s="86" t="str">
        <f>IF(P270&lt;&gt;"",SUMIF(L270:L276,L270,N270:N276),"")</f>
        <v/>
      </c>
      <c r="R270" s="86" t="str">
        <f>IF(P270&lt;&gt;"",SUMIF(L270:L276,L270,O270:O276),"")</f>
        <v/>
      </c>
    </row>
    <row r="271" spans="1:18" x14ac:dyDescent="0.25">
      <c r="A271" s="301" t="s">
        <v>31</v>
      </c>
      <c r="B271" s="303" t="s">
        <v>92</v>
      </c>
      <c r="C271" s="301" t="str">
        <f>VLOOKUP(B271,INSUMOS!$A:$I,2,FALSE)</f>
        <v>SINAPI</v>
      </c>
      <c r="D271" s="301" t="str">
        <f>VLOOKUP(B271,INSUMOS!$A:$I,3,FALSE)</f>
        <v>EXAMES - HORISTA (COLETADO CAIXA)</v>
      </c>
      <c r="E271" s="361" t="str">
        <f>VLOOKUP(B271,INSUMOS!$A:$I,4,FALSE)</f>
        <v>Outros</v>
      </c>
      <c r="F271" s="361"/>
      <c r="G271" s="302" t="str">
        <f>VLOOKUP(B271,INSUMOS!$A:$I,5,FALSE)</f>
        <v>H</v>
      </c>
      <c r="H271" s="305">
        <v>1</v>
      </c>
      <c r="I271" s="304">
        <f>VLOOKUP(B271,INSUMOS!$A:$I,8,FALSE)</f>
        <v>0.55000000000000004</v>
      </c>
      <c r="J271" s="304">
        <f t="shared" si="42"/>
        <v>0.55000000000000004</v>
      </c>
      <c r="L271" s="113">
        <f t="shared" si="43"/>
        <v>23</v>
      </c>
      <c r="M271" s="85">
        <f t="shared" si="44"/>
        <v>0.55000000000000004</v>
      </c>
      <c r="N271" s="86" t="str">
        <f t="shared" si="45"/>
        <v/>
      </c>
      <c r="O271" s="86">
        <f t="shared" si="46"/>
        <v>0.55000000000000004</v>
      </c>
      <c r="P271" s="87" t="str">
        <f t="shared" si="47"/>
        <v/>
      </c>
      <c r="Q271" s="86" t="str">
        <f>IF(P271&lt;&gt;"",SUMIF(L271:L276,L271,N271:N276),"")</f>
        <v/>
      </c>
      <c r="R271" s="86" t="str">
        <f>IF(P271&lt;&gt;"",SUMIF(L271:L276,L271,O271:O276),"")</f>
        <v/>
      </c>
    </row>
    <row r="272" spans="1:18" ht="14.25" customHeight="1" x14ac:dyDescent="0.25">
      <c r="A272" s="301" t="s">
        <v>31</v>
      </c>
      <c r="B272" s="303" t="s">
        <v>296</v>
      </c>
      <c r="C272" s="301" t="str">
        <f>VLOOKUP(B272,INSUMOS!$A:$I,2,FALSE)</f>
        <v>SINAPI</v>
      </c>
      <c r="D272" s="301" t="str">
        <f>VLOOKUP(B272,INSUMOS!$A:$I,3,FALSE)</f>
        <v>FERRAMENTAS - FAMILIA ENGENHEIRO CIVIL - HORISTA (ENCARGOS COMPLEMENTARES - COLETADO CAIXA)</v>
      </c>
      <c r="E272" s="361" t="str">
        <f>VLOOKUP(B272,INSUMOS!$A:$I,4,FALSE)</f>
        <v>Equipamento</v>
      </c>
      <c r="F272" s="361"/>
      <c r="G272" s="302" t="str">
        <f>VLOOKUP(B272,INSUMOS!$A:$I,5,FALSE)</f>
        <v>H</v>
      </c>
      <c r="H272" s="305">
        <v>1</v>
      </c>
      <c r="I272" s="304">
        <f>VLOOKUP(B272,INSUMOS!$A:$I,8,FALSE)</f>
        <v>0.01</v>
      </c>
      <c r="J272" s="304">
        <f t="shared" si="42"/>
        <v>0.01</v>
      </c>
      <c r="L272" s="113">
        <f t="shared" si="43"/>
        <v>23</v>
      </c>
      <c r="M272" s="85">
        <f t="shared" si="44"/>
        <v>0.01</v>
      </c>
      <c r="N272" s="86" t="str">
        <f t="shared" si="45"/>
        <v/>
      </c>
      <c r="O272" s="86">
        <f t="shared" si="46"/>
        <v>0.01</v>
      </c>
      <c r="P272" s="87" t="str">
        <f t="shared" si="47"/>
        <v/>
      </c>
      <c r="Q272" s="86" t="str">
        <f>IF(P272&lt;&gt;"",SUMIF(L272:L276,L272,N272:N276),"")</f>
        <v/>
      </c>
      <c r="R272" s="86" t="str">
        <f>IF(P272&lt;&gt;"",SUMIF(L272:L276,L272,O272:O276),"")</f>
        <v/>
      </c>
    </row>
    <row r="273" spans="1:18" x14ac:dyDescent="0.25">
      <c r="A273" s="301" t="s">
        <v>782</v>
      </c>
      <c r="B273" s="303" t="s">
        <v>94</v>
      </c>
      <c r="C273" s="301" t="s">
        <v>10</v>
      </c>
      <c r="D273" s="301" t="s">
        <v>353</v>
      </c>
      <c r="E273" s="361" t="s">
        <v>42</v>
      </c>
      <c r="F273" s="361"/>
      <c r="G273" s="302" t="s">
        <v>28</v>
      </c>
      <c r="H273" s="305">
        <v>1</v>
      </c>
      <c r="I273" s="304">
        <v>0.06</v>
      </c>
      <c r="J273" s="304">
        <v>0.06</v>
      </c>
      <c r="L273" s="113">
        <f t="shared" si="43"/>
        <v>23</v>
      </c>
      <c r="M273" s="85" t="str">
        <f t="shared" si="44"/>
        <v/>
      </c>
      <c r="N273" s="86" t="str">
        <f t="shared" si="45"/>
        <v/>
      </c>
      <c r="O273" s="86" t="str">
        <f t="shared" si="46"/>
        <v/>
      </c>
      <c r="P273" s="87" t="str">
        <f t="shared" si="47"/>
        <v/>
      </c>
      <c r="Q273" s="86" t="str">
        <f>IF(P273&lt;&gt;"",SUMIF(L273:L276,L273,N273:N276),"")</f>
        <v/>
      </c>
      <c r="R273" s="86" t="str">
        <f>IF(P273&lt;&gt;"",SUMIF(L273:L276,L273,O273:O276),"")</f>
        <v/>
      </c>
    </row>
    <row r="274" spans="1:18" x14ac:dyDescent="0.25">
      <c r="A274" s="309"/>
      <c r="B274" s="309"/>
      <c r="C274" s="309"/>
      <c r="D274" s="309"/>
      <c r="E274" s="309"/>
      <c r="F274" s="310"/>
      <c r="G274" s="309"/>
      <c r="H274" s="310"/>
      <c r="I274" s="309"/>
      <c r="J274" s="310"/>
      <c r="L274" s="113">
        <f t="shared" si="43"/>
        <v>23</v>
      </c>
      <c r="M274" s="85" t="str">
        <f t="shared" si="44"/>
        <v/>
      </c>
      <c r="N274" s="86" t="str">
        <f t="shared" si="45"/>
        <v/>
      </c>
      <c r="O274" s="86" t="str">
        <f t="shared" si="46"/>
        <v/>
      </c>
      <c r="P274" s="87" t="str">
        <f t="shared" si="47"/>
        <v/>
      </c>
      <c r="Q274" s="86" t="str">
        <f>IF(P274&lt;&gt;"",SUMIF(L274:L276,L274,N274:N276),"")</f>
        <v/>
      </c>
      <c r="R274" s="86" t="str">
        <f>IF(P274&lt;&gt;"",SUMIF(L274:L276,L274,O274:O276),"")</f>
        <v/>
      </c>
    </row>
    <row r="275" spans="1:18" x14ac:dyDescent="0.25">
      <c r="A275" s="309"/>
      <c r="B275" s="309"/>
      <c r="C275" s="309"/>
      <c r="D275" s="309"/>
      <c r="E275" s="309"/>
      <c r="F275" s="310"/>
      <c r="G275" s="309"/>
      <c r="H275" s="350" t="s">
        <v>39</v>
      </c>
      <c r="I275" s="350"/>
      <c r="J275" s="310">
        <f>TRUNC(SUMIF(L:L,$L275,M:M)*(1+$J$9),2)</f>
        <v>134.74</v>
      </c>
      <c r="L275" s="113">
        <f t="shared" si="43"/>
        <v>23</v>
      </c>
      <c r="M275" s="85" t="str">
        <f t="shared" si="44"/>
        <v/>
      </c>
      <c r="N275" s="86" t="str">
        <f t="shared" si="45"/>
        <v/>
      </c>
      <c r="O275" s="86" t="str">
        <f t="shared" si="46"/>
        <v/>
      </c>
      <c r="P275" s="87" t="str">
        <f t="shared" si="47"/>
        <v/>
      </c>
      <c r="Q275" s="86" t="str">
        <f>IF(P275&lt;&gt;"",SUMIF(L275:L276,L275,N275:N276),"")</f>
        <v/>
      </c>
      <c r="R275" s="86" t="str">
        <f>IF(P275&lt;&gt;"",SUMIF(L275:L276,L275,O275:O276),"")</f>
        <v/>
      </c>
    </row>
    <row r="276" spans="1:18" ht="26.4" customHeight="1" x14ac:dyDescent="0.25">
      <c r="A276" s="306"/>
      <c r="B276" s="306"/>
      <c r="C276" s="306"/>
      <c r="D276" s="306"/>
      <c r="E276" s="306"/>
      <c r="F276" s="306"/>
      <c r="G276" s="306" t="s">
        <v>40</v>
      </c>
      <c r="H276" s="308">
        <v>160</v>
      </c>
      <c r="I276" s="306" t="s">
        <v>41</v>
      </c>
      <c r="J276" s="307">
        <f>TRUNC(J275*H276,2)</f>
        <v>21558.400000000001</v>
      </c>
      <c r="L276" s="113" t="e">
        <f>IF(AND(#REF!&lt;&gt;"",A276=""),L275+1,L275)</f>
        <v>#REF!</v>
      </c>
      <c r="M276" s="85" t="str">
        <f t="shared" si="44"/>
        <v/>
      </c>
      <c r="N276" s="86" t="str">
        <f t="shared" si="45"/>
        <v/>
      </c>
      <c r="O276" s="86" t="str">
        <f t="shared" si="46"/>
        <v/>
      </c>
      <c r="P276" s="87" t="str">
        <f t="shared" si="47"/>
        <v/>
      </c>
      <c r="Q276" s="86" t="str">
        <f>IF(P276&lt;&gt;"",SUMIF(L276:L276,L276,N276:N276),"")</f>
        <v/>
      </c>
      <c r="R276" s="86" t="str">
        <f>IF(P276&lt;&gt;"",SUMIF(L276:L276,L276,O276:O276),"")</f>
        <v/>
      </c>
    </row>
    <row r="280" spans="1:18" x14ac:dyDescent="0.25">
      <c r="C280" s="110" t="s">
        <v>783</v>
      </c>
    </row>
  </sheetData>
  <sheetProtection algorithmName="SHA-512" hashValue="H1c3kiYwWRi8hKKzfsw4BL+BnlA/0Al7W0K6XV7DKPkbvirAObSX3GJh8oJZGIFDlW0ZlJ7fHE5LRnZJTuPRRg==" saltValue="zYStX8IweSj3Qttev4qabQ==" spinCount="100000" sheet="1" objects="1" scenarios="1"/>
  <protectedRanges>
    <protectedRange sqref="H277:H1048576 H1:H276" name="Intervalo1"/>
  </protectedRanges>
  <mergeCells count="223">
    <mergeCell ref="E18:F18"/>
    <mergeCell ref="E19:F19"/>
    <mergeCell ref="E20:F20"/>
    <mergeCell ref="E21:F21"/>
    <mergeCell ref="E22:F22"/>
    <mergeCell ref="E50:F50"/>
    <mergeCell ref="H52:I52"/>
    <mergeCell ref="F55:G55"/>
    <mergeCell ref="H26:I26"/>
    <mergeCell ref="H34:I34"/>
    <mergeCell ref="H41:I41"/>
    <mergeCell ref="F56:G56"/>
    <mergeCell ref="E57:F57"/>
    <mergeCell ref="E58:F58"/>
    <mergeCell ref="E59:F59"/>
    <mergeCell ref="E60:F60"/>
    <mergeCell ref="E61:F61"/>
    <mergeCell ref="E62:F62"/>
    <mergeCell ref="H64:I64"/>
    <mergeCell ref="F67:G67"/>
    <mergeCell ref="H74:I74"/>
    <mergeCell ref="H148:I148"/>
    <mergeCell ref="F151:G151"/>
    <mergeCell ref="E128:F128"/>
    <mergeCell ref="E129:F129"/>
    <mergeCell ref="E130:F130"/>
    <mergeCell ref="E131:F131"/>
    <mergeCell ref="E132:F132"/>
    <mergeCell ref="E133:F133"/>
    <mergeCell ref="E134:F134"/>
    <mergeCell ref="H136:I136"/>
    <mergeCell ref="E139:F139"/>
    <mergeCell ref="E79:F79"/>
    <mergeCell ref="E80:F80"/>
    <mergeCell ref="E81:F81"/>
    <mergeCell ref="H83:I83"/>
    <mergeCell ref="E86:F86"/>
    <mergeCell ref="E87:F87"/>
    <mergeCell ref="E88:F88"/>
    <mergeCell ref="E140:F140"/>
    <mergeCell ref="E141:F141"/>
    <mergeCell ref="E142:F142"/>
    <mergeCell ref="E143:F143"/>
    <mergeCell ref="E144:F144"/>
    <mergeCell ref="E145:F145"/>
    <mergeCell ref="E146:F146"/>
    <mergeCell ref="E68:F68"/>
    <mergeCell ref="E69:F69"/>
    <mergeCell ref="E70:F70"/>
    <mergeCell ref="E71:F71"/>
    <mergeCell ref="E72:F72"/>
    <mergeCell ref="E210:F210"/>
    <mergeCell ref="H212:I212"/>
    <mergeCell ref="E215:F215"/>
    <mergeCell ref="E216:F216"/>
    <mergeCell ref="E217:F217"/>
    <mergeCell ref="E218:F218"/>
    <mergeCell ref="E219:F219"/>
    <mergeCell ref="E220:F220"/>
    <mergeCell ref="E197:F197"/>
    <mergeCell ref="E198:F198"/>
    <mergeCell ref="E199:F199"/>
    <mergeCell ref="H201:I201"/>
    <mergeCell ref="F204:G204"/>
    <mergeCell ref="E205:F205"/>
    <mergeCell ref="E206:F206"/>
    <mergeCell ref="E207:F207"/>
    <mergeCell ref="E208:F208"/>
    <mergeCell ref="E269:F269"/>
    <mergeCell ref="E270:F270"/>
    <mergeCell ref="E271:F271"/>
    <mergeCell ref="E272:F272"/>
    <mergeCell ref="E273:F273"/>
    <mergeCell ref="E257:F257"/>
    <mergeCell ref="E258:F258"/>
    <mergeCell ref="E259:F259"/>
    <mergeCell ref="F264:G264"/>
    <mergeCell ref="F265:G265"/>
    <mergeCell ref="E266:F266"/>
    <mergeCell ref="E267:F267"/>
    <mergeCell ref="E268:F268"/>
    <mergeCell ref="F246:G246"/>
    <mergeCell ref="E247:F247"/>
    <mergeCell ref="E248:F248"/>
    <mergeCell ref="E249:F249"/>
    <mergeCell ref="E250:F250"/>
    <mergeCell ref="F255:G255"/>
    <mergeCell ref="E256:F256"/>
    <mergeCell ref="E23:F23"/>
    <mergeCell ref="E24:F24"/>
    <mergeCell ref="F29:G29"/>
    <mergeCell ref="E30:F30"/>
    <mergeCell ref="E31:F31"/>
    <mergeCell ref="E32:F32"/>
    <mergeCell ref="E37:F37"/>
    <mergeCell ref="E38:F38"/>
    <mergeCell ref="E39:F39"/>
    <mergeCell ref="F44:G44"/>
    <mergeCell ref="E45:F45"/>
    <mergeCell ref="E46:F46"/>
    <mergeCell ref="E47:F47"/>
    <mergeCell ref="E48:F48"/>
    <mergeCell ref="E49:F49"/>
    <mergeCell ref="E77:F77"/>
    <mergeCell ref="E78:F78"/>
    <mergeCell ref="E89:F89"/>
    <mergeCell ref="E90:F90"/>
    <mergeCell ref="E91:F91"/>
    <mergeCell ref="H93:I93"/>
    <mergeCell ref="F96:G96"/>
    <mergeCell ref="E97:F97"/>
    <mergeCell ref="E98:F98"/>
    <mergeCell ref="E99:F99"/>
    <mergeCell ref="E100:F100"/>
    <mergeCell ref="E101:F101"/>
    <mergeCell ref="H103:I103"/>
    <mergeCell ref="E106:F106"/>
    <mergeCell ref="E107:F107"/>
    <mergeCell ref="E108:F108"/>
    <mergeCell ref="E109:F109"/>
    <mergeCell ref="E110:F110"/>
    <mergeCell ref="H112:I112"/>
    <mergeCell ref="E116:F116"/>
    <mergeCell ref="E117:F117"/>
    <mergeCell ref="E118:F118"/>
    <mergeCell ref="E119:F119"/>
    <mergeCell ref="H121:I121"/>
    <mergeCell ref="E124:F124"/>
    <mergeCell ref="E125:F125"/>
    <mergeCell ref="E126:F126"/>
    <mergeCell ref="E127:F127"/>
    <mergeCell ref="E115:F115"/>
    <mergeCell ref="E161:F161"/>
    <mergeCell ref="H163:I163"/>
    <mergeCell ref="E166:F166"/>
    <mergeCell ref="E167:F167"/>
    <mergeCell ref="E168:F168"/>
    <mergeCell ref="E169:F169"/>
    <mergeCell ref="E170:F170"/>
    <mergeCell ref="H172:I172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F175:G175"/>
    <mergeCell ref="E185:F185"/>
    <mergeCell ref="E186:F186"/>
    <mergeCell ref="E187:F187"/>
    <mergeCell ref="E188:F188"/>
    <mergeCell ref="E189:F189"/>
    <mergeCell ref="E190:F190"/>
    <mergeCell ref="H192:I192"/>
    <mergeCell ref="F195:G19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221:F221"/>
    <mergeCell ref="E222:F222"/>
    <mergeCell ref="E233:F233"/>
    <mergeCell ref="E234:F234"/>
    <mergeCell ref="E235:F235"/>
    <mergeCell ref="H224:I224"/>
    <mergeCell ref="E227:F227"/>
    <mergeCell ref="E228:F228"/>
    <mergeCell ref="E229:F229"/>
    <mergeCell ref="E230:F230"/>
    <mergeCell ref="E231:F231"/>
    <mergeCell ref="E232:F232"/>
    <mergeCell ref="A11:J11"/>
    <mergeCell ref="A13:J13"/>
    <mergeCell ref="U17:V17"/>
    <mergeCell ref="A5:J5"/>
    <mergeCell ref="A6:J6"/>
    <mergeCell ref="E8:I8"/>
    <mergeCell ref="E9:I9"/>
    <mergeCell ref="E10:I10"/>
    <mergeCell ref="E12:F12"/>
    <mergeCell ref="E17:F17"/>
    <mergeCell ref="A1:J1"/>
    <mergeCell ref="A2:J2"/>
    <mergeCell ref="A3:J3"/>
    <mergeCell ref="A4:J4"/>
    <mergeCell ref="P1:Q1"/>
    <mergeCell ref="P3:Q3"/>
    <mergeCell ref="P5:Q5"/>
    <mergeCell ref="W1:X1"/>
    <mergeCell ref="W3:X3"/>
    <mergeCell ref="W5:X5"/>
    <mergeCell ref="X12:Y12"/>
    <mergeCell ref="X13:Y13"/>
    <mergeCell ref="X14:Y14"/>
    <mergeCell ref="F14:G14"/>
    <mergeCell ref="F15:G15"/>
    <mergeCell ref="E16:F16"/>
    <mergeCell ref="X19:Y19"/>
    <mergeCell ref="U21:V21"/>
    <mergeCell ref="H275:I275"/>
    <mergeCell ref="X16:Y16"/>
    <mergeCell ref="X17:Y17"/>
    <mergeCell ref="X18:Y18"/>
    <mergeCell ref="X15:Y15"/>
    <mergeCell ref="H243:I243"/>
    <mergeCell ref="E236:F236"/>
    <mergeCell ref="E237:F237"/>
    <mergeCell ref="E238:F238"/>
    <mergeCell ref="E239:F239"/>
    <mergeCell ref="E240:F240"/>
    <mergeCell ref="E241:F241"/>
    <mergeCell ref="H261:I261"/>
    <mergeCell ref="H252:I252"/>
    <mergeCell ref="E196:F196"/>
    <mergeCell ref="E209:F209"/>
  </mergeCells>
  <conditionalFormatting sqref="P1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{68A1D343-EC02-4302-895D-EC697ECCBC22}</x14:id>
        </ext>
      </extLst>
    </cfRule>
  </conditionalFormatting>
  <conditionalFormatting sqref="P3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{4C9BEF6B-5C48-4398-A273-5CCC67D267B8}</x14:id>
        </ext>
      </extLst>
    </cfRule>
  </conditionalFormatting>
  <conditionalFormatting sqref="P5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{834526E5-486F-4F49-A08B-41B95D4AACFD}</x14:id>
        </ext>
      </extLst>
    </cfRule>
  </conditionalFormatting>
  <conditionalFormatting sqref="W1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{7C3F91B8-4100-44B1-810F-A6194C5C5DC0}</x14:id>
        </ext>
      </extLst>
    </cfRule>
  </conditionalFormatting>
  <conditionalFormatting sqref="W3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{A9D10419-B3B7-48E3-A141-261287D97260}</x14:id>
        </ext>
      </extLst>
    </cfRule>
  </conditionalFormatting>
  <conditionalFormatting sqref="W5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{B14B6EA7-9E1F-4B06-8C98-DA373A79E4B6}</x14:id>
        </ext>
      </extLst>
    </cfRule>
  </conditionalFormatting>
  <pageMargins left="0.78740157480314965" right="0.78740157480314965" top="0.78740157480314965" bottom="0.78740157480314965" header="0.51181102362204722" footer="0.51181102362204722"/>
  <pageSetup paperSize="9" scale="46" fitToHeight="0" orientation="portrait" r:id="rId1"/>
  <headerFooter>
    <oddHeader xml:space="preserve">&amp;L </oddHeader>
    <oddFooter>&amp;L &amp;R&amp;P de &amp;N</oddFooter>
  </headerFooter>
  <ignoredErrors>
    <ignoredError sqref="U15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A1D343-EC02-4302-895D-EC697ECCBC2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P1</xm:sqref>
        </x14:conditionalFormatting>
        <x14:conditionalFormatting xmlns:xm="http://schemas.microsoft.com/office/excel/2006/main">
          <x14:cfRule type="dataBar" id="{4C9BEF6B-5C48-4398-A273-5CCC67D267B8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P3</xm:sqref>
        </x14:conditionalFormatting>
        <x14:conditionalFormatting xmlns:xm="http://schemas.microsoft.com/office/excel/2006/main">
          <x14:cfRule type="dataBar" id="{834526E5-486F-4F49-A08B-41B95D4AACF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P5</xm:sqref>
        </x14:conditionalFormatting>
        <x14:conditionalFormatting xmlns:xm="http://schemas.microsoft.com/office/excel/2006/main">
          <x14:cfRule type="dataBar" id="{7C3F91B8-4100-44B1-810F-A6194C5C5DC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W1</xm:sqref>
        </x14:conditionalFormatting>
        <x14:conditionalFormatting xmlns:xm="http://schemas.microsoft.com/office/excel/2006/main">
          <x14:cfRule type="dataBar" id="{A9D10419-B3B7-48E3-A141-261287D9726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W3</xm:sqref>
        </x14:conditionalFormatting>
        <x14:conditionalFormatting xmlns:xm="http://schemas.microsoft.com/office/excel/2006/main">
          <x14:cfRule type="dataBar" id="{B14B6EA7-9E1F-4B06-8C98-DA373A79E4B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W5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AJ676"/>
  <sheetViews>
    <sheetView showGridLines="0" view="pageBreakPreview" zoomScaleNormal="100" zoomScaleSheetLayoutView="100" workbookViewId="0">
      <selection activeCell="D254" sqref="D254"/>
    </sheetView>
  </sheetViews>
  <sheetFormatPr defaultColWidth="9" defaultRowHeight="13.8" x14ac:dyDescent="0.25"/>
  <cols>
    <col min="1" max="1" width="10" style="138" bestFit="1" customWidth="1"/>
    <col min="2" max="2" width="12" style="138" bestFit="1" customWidth="1"/>
    <col min="3" max="3" width="10" style="138" bestFit="1" customWidth="1"/>
    <col min="4" max="4" width="60" style="138" bestFit="1" customWidth="1"/>
    <col min="5" max="5" width="15" style="138" bestFit="1" customWidth="1"/>
    <col min="6" max="7" width="12" style="138" bestFit="1" customWidth="1"/>
    <col min="8" max="8" width="12" style="174" bestFit="1" customWidth="1"/>
    <col min="9" max="9" width="12" style="175" bestFit="1" customWidth="1"/>
    <col min="10" max="10" width="14" style="175" bestFit="1" customWidth="1"/>
    <col min="11" max="11" width="9" style="135" customWidth="1"/>
    <col min="12" max="15" width="9" style="136" hidden="1" customWidth="1"/>
    <col min="16" max="16" width="9" style="139" hidden="1" customWidth="1"/>
    <col min="17" max="18" width="9" style="136" hidden="1" customWidth="1"/>
    <col min="19" max="21" width="9" style="137" hidden="1" customWidth="1"/>
    <col min="22" max="29" width="9" style="136" hidden="1" customWidth="1"/>
    <col min="30" max="16384" width="9" style="138"/>
  </cols>
  <sheetData>
    <row r="1" spans="1:36" ht="15" customHeight="1" x14ac:dyDescent="0.25">
      <c r="A1" s="367"/>
      <c r="B1" s="367"/>
      <c r="C1" s="367"/>
      <c r="D1" s="367"/>
      <c r="E1" s="367"/>
      <c r="F1" s="367"/>
      <c r="G1" s="367"/>
      <c r="H1" s="367"/>
      <c r="I1" s="367"/>
      <c r="J1" s="367"/>
      <c r="P1" s="366"/>
      <c r="Q1" s="366"/>
      <c r="W1" s="366"/>
      <c r="X1" s="366"/>
    </row>
    <row r="2" spans="1:36" ht="15" customHeight="1" x14ac:dyDescent="0.25">
      <c r="A2" s="368" t="str">
        <f>INSTRUÇÕES!A2</f>
        <v>PROCURADORIA GERAL DA REPÚBLICA</v>
      </c>
      <c r="B2" s="368"/>
      <c r="C2" s="368"/>
      <c r="D2" s="368"/>
      <c r="E2" s="368"/>
      <c r="F2" s="368"/>
      <c r="G2" s="368"/>
      <c r="H2" s="368"/>
      <c r="I2" s="368"/>
      <c r="J2" s="368"/>
      <c r="P2" s="138"/>
      <c r="Q2" s="138"/>
      <c r="W2" s="138"/>
      <c r="X2" s="138"/>
    </row>
    <row r="3" spans="1:36" ht="15" customHeight="1" x14ac:dyDescent="0.25">
      <c r="A3" s="368" t="str">
        <f>INSTRUÇÕES!A3</f>
        <v>SECRETARIA DE ENGENHARIA E ARQUITETURA</v>
      </c>
      <c r="B3" s="368"/>
      <c r="C3" s="368"/>
      <c r="D3" s="368"/>
      <c r="E3" s="368"/>
      <c r="F3" s="368"/>
      <c r="G3" s="368"/>
      <c r="H3" s="368"/>
      <c r="I3" s="368"/>
      <c r="J3" s="368"/>
      <c r="P3" s="366"/>
      <c r="Q3" s="366"/>
    </row>
    <row r="4" spans="1:36" ht="15" customHeight="1" x14ac:dyDescent="0.25">
      <c r="A4" s="368"/>
      <c r="B4" s="368"/>
      <c r="C4" s="368"/>
      <c r="D4" s="368"/>
      <c r="E4" s="368"/>
      <c r="F4" s="368"/>
      <c r="G4" s="368"/>
      <c r="H4" s="368"/>
      <c r="I4" s="368"/>
      <c r="J4" s="368"/>
      <c r="P4" s="138"/>
      <c r="Q4" s="138"/>
      <c r="W4" s="138"/>
      <c r="X4" s="138"/>
    </row>
    <row r="5" spans="1:36" ht="15" customHeight="1" x14ac:dyDescent="0.25">
      <c r="A5" s="369" t="str">
        <f>INSTRUÇÕES!A6</f>
        <v>OBRA: SFCR DA ESMPU - 2021</v>
      </c>
      <c r="B5" s="369"/>
      <c r="C5" s="369"/>
      <c r="D5" s="369"/>
      <c r="E5" s="369"/>
      <c r="F5" s="369"/>
      <c r="G5" s="369"/>
      <c r="H5" s="369"/>
      <c r="I5" s="369"/>
      <c r="J5" s="369"/>
      <c r="P5" s="366"/>
      <c r="Q5" s="366"/>
      <c r="T5" s="138"/>
      <c r="U5" s="138"/>
      <c r="W5" s="138"/>
      <c r="X5" s="138"/>
      <c r="Y5" s="138"/>
      <c r="AB5" s="138"/>
      <c r="AC5" s="138"/>
    </row>
    <row r="6" spans="1:36" ht="24.9" customHeight="1" x14ac:dyDescent="0.25">
      <c r="A6" s="370" t="s">
        <v>185</v>
      </c>
      <c r="B6" s="370"/>
      <c r="C6" s="370"/>
      <c r="D6" s="370"/>
      <c r="E6" s="370"/>
      <c r="F6" s="370"/>
      <c r="G6" s="370"/>
      <c r="H6" s="370"/>
      <c r="I6" s="370"/>
      <c r="J6" s="370"/>
      <c r="Q6" s="140"/>
    </row>
    <row r="7" spans="1:36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S7" s="142"/>
      <c r="T7" s="142"/>
      <c r="U7" s="142"/>
      <c r="V7" s="140"/>
      <c r="W7" s="140"/>
      <c r="X7" s="140"/>
      <c r="Y7" s="140"/>
      <c r="Z7" s="140"/>
      <c r="AA7" s="140"/>
      <c r="AB7" s="140"/>
      <c r="AC7" s="140"/>
      <c r="AD7" s="143"/>
      <c r="AE7" s="143"/>
      <c r="AF7" s="143"/>
      <c r="AG7" s="143"/>
      <c r="AH7" s="143"/>
      <c r="AI7" s="143"/>
      <c r="AJ7" s="143"/>
    </row>
    <row r="8" spans="1:36" ht="15" customHeight="1" x14ac:dyDescent="0.25">
      <c r="A8" s="183"/>
      <c r="B8" s="183"/>
      <c r="C8" s="183"/>
      <c r="D8" s="183"/>
      <c r="E8" s="371" t="str">
        <f>SINTÉTICA!$E$8</f>
        <v>LEIS SOCIAIS NÃO DESONERADAS - REFERÊNCIA HORISTA SINAPI: LS</v>
      </c>
      <c r="F8" s="371"/>
      <c r="G8" s="371"/>
      <c r="H8" s="371"/>
      <c r="I8" s="371"/>
      <c r="J8" s="184">
        <f>SINTÉTICA!$J$8</f>
        <v>1.1369</v>
      </c>
      <c r="S8" s="142"/>
      <c r="T8" s="142"/>
      <c r="U8" s="142"/>
      <c r="V8" s="140"/>
      <c r="W8" s="140"/>
      <c r="X8" s="140"/>
      <c r="Y8" s="140"/>
      <c r="Z8" s="140"/>
      <c r="AA8" s="140"/>
      <c r="AB8" s="140"/>
      <c r="AC8" s="140"/>
      <c r="AD8" s="143"/>
      <c r="AE8" s="143"/>
      <c r="AF8" s="143"/>
      <c r="AG8" s="143"/>
      <c r="AH8" s="143"/>
      <c r="AI8" s="143"/>
      <c r="AJ8" s="143"/>
    </row>
    <row r="9" spans="1:36" ht="15" customHeight="1" x14ac:dyDescent="0.25">
      <c r="A9" s="183"/>
      <c r="B9" s="183"/>
      <c r="C9" s="183"/>
      <c r="D9" s="183"/>
      <c r="E9" s="371" t="str">
        <f>SINTÉTICA!$E$9</f>
        <v>BENEFÍCIOS E DESPESAS INDIRETAS: BDI</v>
      </c>
      <c r="F9" s="371"/>
      <c r="G9" s="371"/>
      <c r="H9" s="371"/>
      <c r="I9" s="371"/>
      <c r="J9" s="185">
        <f>BDI!D23</f>
        <v>0.22220000000000001</v>
      </c>
      <c r="S9" s="142"/>
      <c r="T9" s="142"/>
      <c r="U9" s="142"/>
      <c r="V9" s="140"/>
      <c r="W9" s="140"/>
      <c r="X9" s="140"/>
      <c r="Y9" s="140"/>
      <c r="Z9" s="140"/>
      <c r="AA9" s="140"/>
      <c r="AB9" s="140"/>
      <c r="AC9" s="140"/>
      <c r="AD9" s="143"/>
      <c r="AE9" s="143"/>
      <c r="AF9" s="143"/>
      <c r="AG9" s="143"/>
      <c r="AH9" s="143"/>
      <c r="AI9" s="143"/>
      <c r="AJ9" s="143"/>
    </row>
    <row r="10" spans="1:36" ht="15" customHeight="1" x14ac:dyDescent="0.25">
      <c r="A10" s="183"/>
      <c r="B10" s="183"/>
      <c r="C10" s="183"/>
      <c r="D10" s="183"/>
      <c r="E10" s="371" t="str">
        <f>SINTÉTICA!$E$10</f>
        <v>REFERÊNCIA: SINAPI - DF - 06/21 (NÃO DESONERADA)</v>
      </c>
      <c r="F10" s="371"/>
      <c r="G10" s="371"/>
      <c r="H10" s="371"/>
      <c r="I10" s="371"/>
      <c r="J10" s="144"/>
      <c r="S10" s="142"/>
      <c r="T10" s="142"/>
      <c r="U10" s="142"/>
      <c r="V10" s="140"/>
      <c r="W10" s="140"/>
      <c r="X10" s="140"/>
      <c r="Y10" s="140"/>
      <c r="Z10" s="140"/>
      <c r="AA10" s="140"/>
      <c r="AB10" s="140"/>
      <c r="AC10" s="140"/>
      <c r="AD10" s="143"/>
      <c r="AE10" s="143"/>
      <c r="AF10" s="143"/>
      <c r="AG10" s="143"/>
      <c r="AH10" s="143"/>
      <c r="AI10" s="143"/>
      <c r="AJ10" s="143"/>
    </row>
    <row r="11" spans="1:36" ht="15" customHeight="1" x14ac:dyDescent="0.25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L11" s="145"/>
      <c r="M11" s="145"/>
      <c r="N11" s="145"/>
      <c r="O11" s="145"/>
      <c r="P11" s="145"/>
      <c r="Q11" s="145"/>
      <c r="R11" s="145"/>
      <c r="S11" s="145"/>
      <c r="T11" s="145">
        <v>20</v>
      </c>
      <c r="U11" s="145">
        <v>21</v>
      </c>
      <c r="V11" s="145">
        <v>22</v>
      </c>
      <c r="W11" s="145">
        <v>23</v>
      </c>
      <c r="X11" s="145">
        <v>24</v>
      </c>
      <c r="Y11" s="145">
        <v>25</v>
      </c>
      <c r="Z11" s="145">
        <v>26</v>
      </c>
      <c r="AA11" s="145">
        <v>27</v>
      </c>
      <c r="AB11" s="145">
        <v>28</v>
      </c>
      <c r="AC11" s="145">
        <v>29</v>
      </c>
      <c r="AD11" s="143"/>
      <c r="AE11" s="143"/>
      <c r="AF11" s="143"/>
      <c r="AG11" s="143"/>
      <c r="AH11" s="143"/>
      <c r="AI11" s="143"/>
      <c r="AJ11" s="143"/>
    </row>
    <row r="12" spans="1:36" ht="30" customHeight="1" x14ac:dyDescent="0.25">
      <c r="A12" s="146" t="s">
        <v>178</v>
      </c>
      <c r="B12" s="146" t="s">
        <v>166</v>
      </c>
      <c r="C12" s="146" t="s">
        <v>167</v>
      </c>
      <c r="D12" s="146" t="s">
        <v>154</v>
      </c>
      <c r="E12" s="372" t="s">
        <v>178</v>
      </c>
      <c r="F12" s="372"/>
      <c r="G12" s="146" t="s">
        <v>168</v>
      </c>
      <c r="H12" s="146" t="s">
        <v>169</v>
      </c>
      <c r="I12" s="147" t="s">
        <v>188</v>
      </c>
      <c r="J12" s="147" t="s">
        <v>191</v>
      </c>
      <c r="L12" s="148" t="s">
        <v>86</v>
      </c>
      <c r="M12" s="149" t="s">
        <v>85</v>
      </c>
      <c r="N12" s="149" t="s">
        <v>83</v>
      </c>
      <c r="O12" s="149" t="s">
        <v>84</v>
      </c>
      <c r="P12" s="150" t="s">
        <v>87</v>
      </c>
      <c r="Q12" s="149" t="s">
        <v>88</v>
      </c>
      <c r="R12" s="151" t="s">
        <v>89</v>
      </c>
      <c r="S12" s="145"/>
      <c r="T12" s="152"/>
      <c r="U12" s="153" t="s">
        <v>1</v>
      </c>
      <c r="V12" s="153" t="s">
        <v>2</v>
      </c>
      <c r="W12" s="153" t="s">
        <v>3</v>
      </c>
      <c r="X12" s="153" t="s">
        <v>19</v>
      </c>
      <c r="Y12" s="153"/>
      <c r="Z12" s="153" t="s">
        <v>4</v>
      </c>
      <c r="AA12" s="153" t="s">
        <v>5</v>
      </c>
      <c r="AB12" s="153"/>
      <c r="AC12" s="154"/>
      <c r="AD12" s="143"/>
      <c r="AE12" s="143"/>
      <c r="AF12" s="143"/>
      <c r="AG12" s="143"/>
      <c r="AH12" s="143"/>
      <c r="AI12" s="143"/>
      <c r="AJ12" s="143"/>
    </row>
    <row r="13" spans="1:36" x14ac:dyDescent="0.25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L13" s="138"/>
      <c r="M13" s="138"/>
      <c r="N13" s="138"/>
      <c r="O13" s="138"/>
      <c r="P13" s="138"/>
      <c r="Q13" s="138"/>
      <c r="R13" s="138"/>
      <c r="S13" s="155"/>
      <c r="T13" s="239" t="s">
        <v>20</v>
      </c>
      <c r="U13" s="240">
        <v>88239</v>
      </c>
      <c r="V13" s="241" t="s">
        <v>10</v>
      </c>
      <c r="W13" s="241" t="s">
        <v>47</v>
      </c>
      <c r="X13" s="241" t="s">
        <v>27</v>
      </c>
      <c r="Y13" s="241"/>
      <c r="Z13" s="242" t="s">
        <v>28</v>
      </c>
      <c r="AA13" s="243">
        <v>1</v>
      </c>
      <c r="AB13" s="244">
        <f>SUMIF(AE:AE,$L13,AF:AF)</f>
        <v>0</v>
      </c>
      <c r="AC13" s="245">
        <f>TRUNC(AA13*AB13,2)</f>
        <v>0</v>
      </c>
      <c r="AD13" s="143"/>
      <c r="AE13" s="143"/>
      <c r="AF13" s="143"/>
      <c r="AG13" s="143"/>
      <c r="AH13" s="143"/>
      <c r="AI13" s="143"/>
      <c r="AJ13" s="143"/>
    </row>
    <row r="14" spans="1:36" ht="14.25" hidden="1" customHeight="1" x14ac:dyDescent="0.25">
      <c r="A14" s="270" t="s">
        <v>636</v>
      </c>
      <c r="B14" s="254" t="s">
        <v>1</v>
      </c>
      <c r="C14" s="270" t="s">
        <v>2</v>
      </c>
      <c r="D14" s="270" t="s">
        <v>3</v>
      </c>
      <c r="E14" s="347" t="s">
        <v>19</v>
      </c>
      <c r="F14" s="347"/>
      <c r="G14" s="253" t="s">
        <v>4</v>
      </c>
      <c r="H14" s="254" t="s">
        <v>5</v>
      </c>
      <c r="I14" s="254" t="s">
        <v>6</v>
      </c>
      <c r="J14" s="254" t="s">
        <v>7</v>
      </c>
      <c r="L14" s="145">
        <v>1</v>
      </c>
      <c r="M14" s="156" t="str">
        <f t="shared" ref="M14:M16" si="0">IF(OR(A14="Insumo",A14="Composição Auxiliar"),J14,"")</f>
        <v/>
      </c>
      <c r="N14" s="157" t="str">
        <f t="shared" ref="N14:N16" si="1">IF(E14="Mão de Obra",J14,"")</f>
        <v/>
      </c>
      <c r="O14" s="157" t="str">
        <f t="shared" ref="O14:O16" si="2">IF(N14&lt;&gt;"","",M14)</f>
        <v/>
      </c>
      <c r="P14" s="158" t="str">
        <f t="shared" ref="P14:P16" si="3">IF(A14="Composição",B14,"")</f>
        <v/>
      </c>
      <c r="Q14" s="157" t="str">
        <f>IF(P14&lt;&gt;"",SUMIF(L14:L114,L14,N14:N114),"")</f>
        <v/>
      </c>
      <c r="R14" s="157" t="str">
        <f>IF(P14&lt;&gt;"",SUMIF(L14:L114,L14,O14:O114),"")</f>
        <v/>
      </c>
      <c r="S14" s="142"/>
      <c r="T14" s="246" t="s">
        <v>22</v>
      </c>
      <c r="U14" s="247">
        <v>95309</v>
      </c>
      <c r="V14" s="248" t="s">
        <v>10</v>
      </c>
      <c r="W14" s="248" t="s">
        <v>82</v>
      </c>
      <c r="X14" s="248" t="s">
        <v>27</v>
      </c>
      <c r="Y14" s="248"/>
      <c r="Z14" s="249" t="s">
        <v>28</v>
      </c>
      <c r="AA14" s="250">
        <v>1</v>
      </c>
      <c r="AB14" s="251">
        <f>SUMIFS(AC:AC,T:T,"Composição",U:U,$B14)</f>
        <v>0</v>
      </c>
      <c r="AC14" s="252">
        <f>TRUNC(AA14*AB14,2)</f>
        <v>0</v>
      </c>
      <c r="AD14" s="143"/>
      <c r="AE14" s="143"/>
      <c r="AF14" s="143"/>
      <c r="AG14" s="143"/>
      <c r="AH14" s="143"/>
      <c r="AI14" s="143"/>
      <c r="AJ14" s="143"/>
    </row>
    <row r="15" spans="1:36" ht="14.25" hidden="1" customHeight="1" x14ac:dyDescent="0.25">
      <c r="A15" s="271" t="s">
        <v>20</v>
      </c>
      <c r="B15" s="256" t="s">
        <v>9</v>
      </c>
      <c r="C15" s="271" t="s">
        <v>10</v>
      </c>
      <c r="D15" s="271" t="s">
        <v>11</v>
      </c>
      <c r="E15" s="362" t="s">
        <v>21</v>
      </c>
      <c r="F15" s="362"/>
      <c r="G15" s="255" t="s">
        <v>12</v>
      </c>
      <c r="H15" s="258">
        <v>1</v>
      </c>
      <c r="I15" s="257">
        <f>SUMIF(L:L,$L15,M:M)</f>
        <v>321.87</v>
      </c>
      <c r="J15" s="257">
        <f t="shared" ref="J15:J22" si="4">TRUNC(H15*I15,2)</f>
        <v>321.87</v>
      </c>
      <c r="L15" s="145">
        <f t="shared" ref="L15:L16" si="5">IF(AND(A16&lt;&gt;"",A15=""),L14+1,L14)</f>
        <v>1</v>
      </c>
      <c r="M15" s="156" t="str">
        <f t="shared" si="0"/>
        <v/>
      </c>
      <c r="N15" s="157" t="str">
        <f t="shared" si="1"/>
        <v/>
      </c>
      <c r="O15" s="157" t="str">
        <f t="shared" si="2"/>
        <v/>
      </c>
      <c r="P15" s="158" t="str">
        <f t="shared" si="3"/>
        <v xml:space="preserve"> 74209/001 </v>
      </c>
      <c r="Q15" s="157">
        <f t="shared" ref="Q15:Q16" si="6">IF(P15&lt;&gt;"",SUMIF(L15:L115,L15,N15:N115),"")</f>
        <v>0</v>
      </c>
      <c r="R15" s="157">
        <f t="shared" ref="R15:R16" si="7">IF(P15&lt;&gt;"",SUMIF(L15:L115,L15,O15:O115),"")</f>
        <v>321.87</v>
      </c>
      <c r="S15" s="142"/>
      <c r="T15" s="159" t="s">
        <v>31</v>
      </c>
      <c r="U15" s="160" t="s">
        <v>90</v>
      </c>
      <c r="V15" s="161" t="str">
        <f>VLOOKUP(U15,INSUMOS!$A:$I,2,FALSE)</f>
        <v>SINAPI</v>
      </c>
      <c r="W15" s="161" t="str">
        <f>VLOOKUP(U15,INSUMOS!$A:$I,3,FALSE)</f>
        <v>ALIMENTACAO - HORISTA (COLETADO CAIXA)</v>
      </c>
      <c r="X15" s="364" t="str">
        <f>VLOOKUP(U15,INSUMOS!$A:$I,4,FALSE)</f>
        <v>Outros</v>
      </c>
      <c r="Y15" s="364"/>
      <c r="Z15" s="162" t="str">
        <f>VLOOKUP(U15,INSUMOS!$A:$I,5,FALSE)</f>
        <v>H</v>
      </c>
      <c r="AA15" s="163">
        <v>1</v>
      </c>
      <c r="AB15" s="164">
        <f>VLOOKUP(U15,INSUMOS!$A:$I,8,FALSE)</f>
        <v>2.62</v>
      </c>
      <c r="AC15" s="165">
        <f>TRUNC(AA15*AB15,2)</f>
        <v>2.62</v>
      </c>
      <c r="AD15" s="143"/>
      <c r="AE15" s="143"/>
      <c r="AF15" s="143"/>
      <c r="AG15" s="143"/>
      <c r="AH15" s="143"/>
      <c r="AI15" s="143"/>
      <c r="AJ15" s="143"/>
    </row>
    <row r="16" spans="1:36" ht="39.6" hidden="1" x14ac:dyDescent="0.25">
      <c r="A16" s="272" t="s">
        <v>22</v>
      </c>
      <c r="B16" s="261" t="s">
        <v>23</v>
      </c>
      <c r="C16" s="272" t="s">
        <v>10</v>
      </c>
      <c r="D16" s="272" t="s">
        <v>637</v>
      </c>
      <c r="E16" s="363" t="s">
        <v>24</v>
      </c>
      <c r="F16" s="363"/>
      <c r="G16" s="260" t="s">
        <v>18</v>
      </c>
      <c r="H16" s="263">
        <v>0.01</v>
      </c>
      <c r="I16" s="262">
        <f>SUMIFS(J:J,A:A,"Composição",B:B,$B16)</f>
        <v>329.54</v>
      </c>
      <c r="J16" s="262">
        <f t="shared" si="4"/>
        <v>3.29</v>
      </c>
      <c r="K16" s="171"/>
      <c r="L16" s="145">
        <f t="shared" si="5"/>
        <v>1</v>
      </c>
      <c r="M16" s="156">
        <f t="shared" si="0"/>
        <v>3.29</v>
      </c>
      <c r="N16" s="157" t="str">
        <f t="shared" si="1"/>
        <v/>
      </c>
      <c r="O16" s="157">
        <f t="shared" si="2"/>
        <v>3.29</v>
      </c>
      <c r="P16" s="158" t="str">
        <f t="shared" si="3"/>
        <v/>
      </c>
      <c r="Q16" s="157" t="str">
        <f t="shared" si="6"/>
        <v/>
      </c>
      <c r="R16" s="157" t="str">
        <f t="shared" si="7"/>
        <v/>
      </c>
      <c r="S16" s="142"/>
      <c r="T16" s="166"/>
      <c r="U16" s="167"/>
      <c r="V16" s="166"/>
      <c r="W16" s="166"/>
      <c r="X16" s="365"/>
      <c r="Y16" s="365"/>
      <c r="Z16" s="168"/>
      <c r="AA16" s="169"/>
      <c r="AB16" s="170"/>
      <c r="AC16" s="170"/>
      <c r="AD16" s="143"/>
      <c r="AE16" s="143"/>
      <c r="AF16" s="143"/>
      <c r="AG16" s="143"/>
      <c r="AH16" s="143"/>
      <c r="AI16" s="143"/>
      <c r="AJ16" s="143"/>
    </row>
    <row r="17" spans="1:36" ht="26.4" hidden="1" x14ac:dyDescent="0.25">
      <c r="A17" s="272" t="s">
        <v>22</v>
      </c>
      <c r="B17" s="261" t="s">
        <v>25</v>
      </c>
      <c r="C17" s="272" t="s">
        <v>10</v>
      </c>
      <c r="D17" s="272" t="s">
        <v>26</v>
      </c>
      <c r="E17" s="363" t="s">
        <v>27</v>
      </c>
      <c r="F17" s="363"/>
      <c r="G17" s="260" t="s">
        <v>28</v>
      </c>
      <c r="H17" s="263">
        <v>1</v>
      </c>
      <c r="I17" s="262">
        <f>SUMIFS(J:J,A:A,"Composição",B:B,$B17)</f>
        <v>23.68</v>
      </c>
      <c r="J17" s="262">
        <f t="shared" si="4"/>
        <v>23.68</v>
      </c>
      <c r="K17" s="172"/>
      <c r="L17" s="145">
        <f t="shared" ref="L17:L80" si="8">IF(AND(A18&lt;&gt;"",A17=""),L16+1,L16)</f>
        <v>1</v>
      </c>
      <c r="M17" s="156">
        <f t="shared" ref="M17:M80" si="9">IF(OR(A17="Insumo",A17="Composição Auxiliar"),J17,"")</f>
        <v>23.68</v>
      </c>
      <c r="N17" s="157" t="str">
        <f t="shared" ref="N17:N80" si="10">IF(E17="Mão de Obra",J17,"")</f>
        <v/>
      </c>
      <c r="O17" s="157">
        <f t="shared" ref="O17:O80" si="11">IF(N17&lt;&gt;"","",M17)</f>
        <v>23.68</v>
      </c>
      <c r="P17" s="158" t="str">
        <f t="shared" ref="P17:P80" si="12">IF(A17="Composição",B17,"")</f>
        <v/>
      </c>
      <c r="Q17" s="157" t="str">
        <f t="shared" ref="Q17:Q80" si="13">IF(P17&lt;&gt;"",SUMIF(L17:L117,L17,N17:N117),"")</f>
        <v/>
      </c>
      <c r="R17" s="157" t="str">
        <f t="shared" ref="R17:R80" si="14">IF(P17&lt;&gt;"",SUMIF(L17:L117,L17,O17:O117),"")</f>
        <v/>
      </c>
      <c r="S17" s="142"/>
      <c r="T17" s="166"/>
      <c r="U17" s="167"/>
      <c r="V17" s="166"/>
      <c r="W17" s="166"/>
      <c r="X17" s="365"/>
      <c r="Y17" s="365"/>
      <c r="Z17" s="168"/>
      <c r="AA17" s="169"/>
      <c r="AB17" s="170"/>
      <c r="AC17" s="170"/>
      <c r="AD17" s="143"/>
      <c r="AE17" s="143"/>
      <c r="AF17" s="143"/>
      <c r="AG17" s="143"/>
      <c r="AH17" s="143"/>
      <c r="AI17" s="143"/>
      <c r="AJ17" s="143"/>
    </row>
    <row r="18" spans="1:36" ht="14.25" hidden="1" customHeight="1" x14ac:dyDescent="0.25">
      <c r="A18" s="272" t="s">
        <v>22</v>
      </c>
      <c r="B18" s="261" t="s">
        <v>29</v>
      </c>
      <c r="C18" s="272" t="s">
        <v>10</v>
      </c>
      <c r="D18" s="272" t="s">
        <v>30</v>
      </c>
      <c r="E18" s="363" t="s">
        <v>27</v>
      </c>
      <c r="F18" s="363"/>
      <c r="G18" s="260" t="s">
        <v>28</v>
      </c>
      <c r="H18" s="263">
        <v>2</v>
      </c>
      <c r="I18" s="262">
        <f>SUMIFS(J:J,A:A,"Composição",B:B,$B18)</f>
        <v>17.61</v>
      </c>
      <c r="J18" s="262">
        <f t="shared" si="4"/>
        <v>35.22</v>
      </c>
      <c r="K18" s="172"/>
      <c r="L18" s="145">
        <f t="shared" si="8"/>
        <v>1</v>
      </c>
      <c r="M18" s="156">
        <f t="shared" si="9"/>
        <v>35.22</v>
      </c>
      <c r="N18" s="157" t="str">
        <f t="shared" si="10"/>
        <v/>
      </c>
      <c r="O18" s="157">
        <f t="shared" si="11"/>
        <v>35.22</v>
      </c>
      <c r="P18" s="158" t="str">
        <f t="shared" si="12"/>
        <v/>
      </c>
      <c r="Q18" s="157" t="str">
        <f t="shared" si="13"/>
        <v/>
      </c>
      <c r="R18" s="157" t="str">
        <f t="shared" si="14"/>
        <v/>
      </c>
      <c r="S18" s="142"/>
      <c r="T18" s="142"/>
      <c r="U18" s="142"/>
      <c r="V18" s="140"/>
      <c r="W18" s="140"/>
      <c r="X18" s="140"/>
      <c r="Y18" s="140"/>
      <c r="Z18" s="140"/>
      <c r="AA18" s="140"/>
      <c r="AB18" s="140"/>
      <c r="AC18" s="140"/>
      <c r="AD18" s="143"/>
      <c r="AE18" s="143"/>
      <c r="AF18" s="143"/>
      <c r="AG18" s="143"/>
      <c r="AH18" s="143"/>
      <c r="AI18" s="143"/>
      <c r="AJ18" s="143"/>
    </row>
    <row r="19" spans="1:36" ht="14.25" hidden="1" customHeight="1" x14ac:dyDescent="0.25">
      <c r="A19" s="273" t="s">
        <v>31</v>
      </c>
      <c r="B19" s="265" t="s">
        <v>32</v>
      </c>
      <c r="C19" s="273" t="str">
        <f>VLOOKUP(B19,INSUMOS!$A:$I,2,FALSE)</f>
        <v>SINAPI</v>
      </c>
      <c r="D19" s="273" t="str">
        <f>VLOOKUP(B19,INSUMOS!$A:$I,3,FALSE)</f>
        <v>PLACA DE OBRA (PARA CONSTRUCAO CIVIL) EM CHAPA GALVANIZADA *N. 22*, ADESIVADA, DE *2,0 X 1,125* M</v>
      </c>
      <c r="E19" s="361" t="str">
        <f>VLOOKUP(B19,INSUMOS!$A:$I,4,FALSE)</f>
        <v>Material</v>
      </c>
      <c r="F19" s="361"/>
      <c r="G19" s="264" t="str">
        <f>VLOOKUP(B19,INSUMOS!$A:$I,5,FALSE)</f>
        <v>m²</v>
      </c>
      <c r="H19" s="267">
        <v>1</v>
      </c>
      <c r="I19" s="266">
        <f>VLOOKUP(B19,INSUMOS!$A:$I,8,FALSE)</f>
        <v>225</v>
      </c>
      <c r="J19" s="266">
        <f t="shared" si="4"/>
        <v>225</v>
      </c>
      <c r="K19" s="172"/>
      <c r="L19" s="145">
        <f t="shared" si="8"/>
        <v>1</v>
      </c>
      <c r="M19" s="156">
        <f t="shared" si="9"/>
        <v>225</v>
      </c>
      <c r="N19" s="157" t="str">
        <f t="shared" si="10"/>
        <v/>
      </c>
      <c r="O19" s="157">
        <f t="shared" si="11"/>
        <v>225</v>
      </c>
      <c r="P19" s="158" t="str">
        <f t="shared" si="12"/>
        <v/>
      </c>
      <c r="Q19" s="157" t="str">
        <f t="shared" si="13"/>
        <v/>
      </c>
      <c r="R19" s="157" t="str">
        <f t="shared" si="14"/>
        <v/>
      </c>
      <c r="S19" s="142"/>
      <c r="T19" s="142"/>
      <c r="U19" s="142"/>
      <c r="V19" s="140"/>
      <c r="Z19" s="140"/>
      <c r="AA19" s="140"/>
      <c r="AB19" s="140"/>
      <c r="AC19" s="140"/>
      <c r="AD19" s="143"/>
      <c r="AE19" s="143"/>
      <c r="AF19" s="143"/>
      <c r="AG19" s="143"/>
      <c r="AH19" s="143"/>
      <c r="AI19" s="143"/>
      <c r="AJ19" s="143"/>
    </row>
    <row r="20" spans="1:36" ht="15" hidden="1" customHeight="1" x14ac:dyDescent="0.25">
      <c r="A20" s="273" t="s">
        <v>31</v>
      </c>
      <c r="B20" s="265" t="s">
        <v>35</v>
      </c>
      <c r="C20" s="273" t="str">
        <f>VLOOKUP(B20,INSUMOS!$A:$I,2,FALSE)</f>
        <v>SINAPI</v>
      </c>
      <c r="D20" s="273" t="str">
        <f>VLOOKUP(B20,INSUMOS!$A:$I,3,FALSE)</f>
        <v>PREGO DE ACO POLIDO COM CABECA 18 X 30 (2 3/4 X 10)</v>
      </c>
      <c r="E20" s="361" t="str">
        <f>VLOOKUP(B20,INSUMOS!$A:$I,4,FALSE)</f>
        <v>Material</v>
      </c>
      <c r="F20" s="361"/>
      <c r="G20" s="264" t="str">
        <f>VLOOKUP(B20,INSUMOS!$A:$I,5,FALSE)</f>
        <v>KG</v>
      </c>
      <c r="H20" s="267">
        <v>0.11</v>
      </c>
      <c r="I20" s="266">
        <f>VLOOKUP(B20,INSUMOS!$A:$I,8,FALSE)</f>
        <v>20.239999999999998</v>
      </c>
      <c r="J20" s="266">
        <f t="shared" si="4"/>
        <v>2.2200000000000002</v>
      </c>
      <c r="K20" s="172"/>
      <c r="L20" s="145">
        <f t="shared" si="8"/>
        <v>1</v>
      </c>
      <c r="M20" s="156">
        <f t="shared" si="9"/>
        <v>2.2200000000000002</v>
      </c>
      <c r="N20" s="157" t="str">
        <f t="shared" si="10"/>
        <v/>
      </c>
      <c r="O20" s="157">
        <f t="shared" si="11"/>
        <v>2.2200000000000002</v>
      </c>
      <c r="P20" s="158" t="str">
        <f t="shared" si="12"/>
        <v/>
      </c>
      <c r="Q20" s="157" t="str">
        <f t="shared" si="13"/>
        <v/>
      </c>
      <c r="R20" s="157" t="str">
        <f t="shared" si="14"/>
        <v/>
      </c>
      <c r="S20" s="142"/>
      <c r="T20" s="142"/>
      <c r="U20" s="142"/>
      <c r="V20" s="140"/>
      <c r="Z20" s="140"/>
      <c r="AA20" s="140"/>
      <c r="AB20" s="140"/>
      <c r="AC20" s="140"/>
      <c r="AD20" s="143"/>
      <c r="AE20" s="143"/>
      <c r="AF20" s="143"/>
      <c r="AG20" s="143"/>
      <c r="AH20" s="143"/>
      <c r="AI20" s="143"/>
      <c r="AJ20" s="143"/>
    </row>
    <row r="21" spans="1:36" ht="14.25" hidden="1" customHeight="1" x14ac:dyDescent="0.25">
      <c r="A21" s="273" t="s">
        <v>31</v>
      </c>
      <c r="B21" s="265" t="s">
        <v>34</v>
      </c>
      <c r="C21" s="273" t="str">
        <f>VLOOKUP(B21,INSUMOS!$A:$I,2,FALSE)</f>
        <v>SINAPI</v>
      </c>
      <c r="D21" s="273" t="str">
        <f>VLOOKUP(B21,INSUMOS!$A:$I,3,FALSE)</f>
        <v>PONTALETE *7,5 X 7,5* CM EM PINUS, MISTA OU EQUIVALENTE DA REGIAO - BRUTA</v>
      </c>
      <c r="E21" s="361" t="str">
        <f>VLOOKUP(B21,INSUMOS!$A:$I,4,FALSE)</f>
        <v>Material</v>
      </c>
      <c r="F21" s="361"/>
      <c r="G21" s="264" t="str">
        <f>VLOOKUP(B21,INSUMOS!$A:$I,5,FALSE)</f>
        <v>M</v>
      </c>
      <c r="H21" s="267">
        <v>4</v>
      </c>
      <c r="I21" s="266">
        <f>VLOOKUP(B21,INSUMOS!$A:$I,8,FALSE)</f>
        <v>6.49</v>
      </c>
      <c r="J21" s="266">
        <f t="shared" si="4"/>
        <v>25.96</v>
      </c>
      <c r="K21" s="172"/>
      <c r="L21" s="145">
        <f t="shared" si="8"/>
        <v>1</v>
      </c>
      <c r="M21" s="156">
        <f t="shared" si="9"/>
        <v>25.96</v>
      </c>
      <c r="N21" s="157" t="str">
        <f t="shared" si="10"/>
        <v/>
      </c>
      <c r="O21" s="157">
        <f t="shared" si="11"/>
        <v>25.96</v>
      </c>
      <c r="P21" s="158" t="str">
        <f t="shared" si="12"/>
        <v/>
      </c>
      <c r="Q21" s="157" t="str">
        <f t="shared" si="13"/>
        <v/>
      </c>
      <c r="R21" s="157" t="str">
        <f t="shared" si="14"/>
        <v/>
      </c>
      <c r="S21" s="142"/>
      <c r="T21" s="142"/>
      <c r="U21" s="142"/>
      <c r="V21" s="140"/>
      <c r="Z21" s="140"/>
      <c r="AA21" s="140"/>
      <c r="AB21" s="140"/>
      <c r="AC21" s="140"/>
      <c r="AD21" s="143"/>
      <c r="AE21" s="143"/>
      <c r="AF21" s="143"/>
      <c r="AG21" s="143"/>
      <c r="AH21" s="143"/>
      <c r="AI21" s="143"/>
      <c r="AJ21" s="143"/>
    </row>
    <row r="22" spans="1:36" ht="14.25" hidden="1" customHeight="1" x14ac:dyDescent="0.25">
      <c r="A22" s="273" t="s">
        <v>31</v>
      </c>
      <c r="B22" s="265" t="s">
        <v>38</v>
      </c>
      <c r="C22" s="273" t="str">
        <f>VLOOKUP(B22,INSUMOS!$A:$I,2,FALSE)</f>
        <v>SINAPI</v>
      </c>
      <c r="D22" s="273" t="str">
        <f>VLOOKUP(B22,INSUMOS!$A:$I,3,FALSE)</f>
        <v>SARRAFO NAO APARELHADO *2,5 X 7* CM, EM MACARANDUBA, ANGELIM OU EQUIVALENTE DA REGIAO -  BRUTA</v>
      </c>
      <c r="E22" s="361" t="str">
        <f>VLOOKUP(B22,INSUMOS!$A:$I,4,FALSE)</f>
        <v>Material</v>
      </c>
      <c r="F22" s="361"/>
      <c r="G22" s="264" t="str">
        <f>VLOOKUP(B22,INSUMOS!$A:$I,5,FALSE)</f>
        <v>M</v>
      </c>
      <c r="H22" s="267">
        <v>1</v>
      </c>
      <c r="I22" s="266">
        <f>VLOOKUP(B22,INSUMOS!$A:$I,8,FALSE)</f>
        <v>6.5</v>
      </c>
      <c r="J22" s="266">
        <f t="shared" si="4"/>
        <v>6.5</v>
      </c>
      <c r="K22" s="172"/>
      <c r="L22" s="145">
        <f t="shared" si="8"/>
        <v>1</v>
      </c>
      <c r="M22" s="156">
        <f t="shared" si="9"/>
        <v>6.5</v>
      </c>
      <c r="N22" s="157" t="str">
        <f t="shared" si="10"/>
        <v/>
      </c>
      <c r="O22" s="157">
        <f t="shared" si="11"/>
        <v>6.5</v>
      </c>
      <c r="P22" s="158" t="str">
        <f t="shared" si="12"/>
        <v/>
      </c>
      <c r="Q22" s="157" t="str">
        <f t="shared" si="13"/>
        <v/>
      </c>
      <c r="R22" s="157" t="str">
        <f t="shared" si="14"/>
        <v/>
      </c>
      <c r="S22" s="142"/>
      <c r="T22" s="142"/>
      <c r="U22" s="142"/>
      <c r="V22" s="140"/>
      <c r="Z22" s="140"/>
      <c r="AA22" s="140"/>
      <c r="AB22" s="140"/>
      <c r="AC22" s="140"/>
      <c r="AD22" s="143"/>
      <c r="AE22" s="143"/>
      <c r="AF22" s="143"/>
      <c r="AG22" s="143"/>
      <c r="AH22" s="143"/>
      <c r="AI22" s="143"/>
      <c r="AJ22" s="143"/>
    </row>
    <row r="23" spans="1:36" ht="15" hidden="1" customHeight="1" x14ac:dyDescent="0.25">
      <c r="A23" s="274"/>
      <c r="B23" s="274"/>
      <c r="C23" s="274"/>
      <c r="D23" s="274"/>
      <c r="E23" s="274"/>
      <c r="F23" s="268"/>
      <c r="G23" s="274"/>
      <c r="H23" s="268"/>
      <c r="I23" s="274"/>
      <c r="J23" s="268"/>
      <c r="K23" s="172"/>
      <c r="L23" s="145">
        <f t="shared" si="8"/>
        <v>1</v>
      </c>
      <c r="M23" s="156" t="str">
        <f t="shared" si="9"/>
        <v/>
      </c>
      <c r="N23" s="157" t="str">
        <f t="shared" si="10"/>
        <v/>
      </c>
      <c r="O23" s="157" t="str">
        <f t="shared" si="11"/>
        <v/>
      </c>
      <c r="P23" s="158" t="str">
        <f t="shared" si="12"/>
        <v/>
      </c>
      <c r="Q23" s="157" t="str">
        <f t="shared" si="13"/>
        <v/>
      </c>
      <c r="R23" s="157" t="str">
        <f t="shared" si="14"/>
        <v/>
      </c>
      <c r="S23" s="142"/>
      <c r="T23" s="142"/>
      <c r="U23" s="142"/>
      <c r="V23" s="140"/>
      <c r="W23" s="140"/>
      <c r="Z23" s="140"/>
      <c r="AA23" s="140"/>
      <c r="AB23" s="140"/>
      <c r="AC23" s="140"/>
      <c r="AD23" s="143"/>
      <c r="AE23" s="143"/>
      <c r="AF23" s="143"/>
      <c r="AG23" s="143"/>
      <c r="AH23" s="143"/>
      <c r="AI23" s="143"/>
      <c r="AJ23" s="143"/>
    </row>
    <row r="24" spans="1:36" ht="14.4" hidden="1" thickBot="1" x14ac:dyDescent="0.3">
      <c r="A24" s="274"/>
      <c r="B24" s="274"/>
      <c r="C24" s="274"/>
      <c r="D24" s="274"/>
      <c r="E24" s="274"/>
      <c r="F24" s="268"/>
      <c r="G24" s="274"/>
      <c r="H24" s="350"/>
      <c r="I24" s="350"/>
      <c r="J24" s="268"/>
      <c r="K24" s="172"/>
      <c r="L24" s="145">
        <f t="shared" si="8"/>
        <v>1</v>
      </c>
      <c r="M24" s="156" t="str">
        <f t="shared" si="9"/>
        <v/>
      </c>
      <c r="N24" s="157" t="str">
        <f t="shared" si="10"/>
        <v/>
      </c>
      <c r="O24" s="157" t="str">
        <f t="shared" si="11"/>
        <v/>
      </c>
      <c r="P24" s="158" t="str">
        <f t="shared" si="12"/>
        <v/>
      </c>
      <c r="Q24" s="157" t="str">
        <f t="shared" si="13"/>
        <v/>
      </c>
      <c r="R24" s="157" t="str">
        <f t="shared" si="14"/>
        <v/>
      </c>
    </row>
    <row r="25" spans="1:36" ht="14.4" hidden="1" thickTop="1" x14ac:dyDescent="0.25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172"/>
      <c r="L25" s="145">
        <f t="shared" si="8"/>
        <v>2</v>
      </c>
      <c r="M25" s="156" t="str">
        <f t="shared" si="9"/>
        <v/>
      </c>
      <c r="N25" s="157" t="str">
        <f t="shared" si="10"/>
        <v/>
      </c>
      <c r="O25" s="157" t="str">
        <f t="shared" si="11"/>
        <v/>
      </c>
      <c r="P25" s="158" t="str">
        <f t="shared" si="12"/>
        <v/>
      </c>
      <c r="Q25" s="157" t="str">
        <f t="shared" si="13"/>
        <v/>
      </c>
      <c r="R25" s="157" t="str">
        <f t="shared" si="14"/>
        <v/>
      </c>
    </row>
    <row r="26" spans="1:36" hidden="1" x14ac:dyDescent="0.25">
      <c r="A26" s="270" t="s">
        <v>638</v>
      </c>
      <c r="B26" s="254" t="s">
        <v>1</v>
      </c>
      <c r="C26" s="270" t="s">
        <v>2</v>
      </c>
      <c r="D26" s="270" t="s">
        <v>3</v>
      </c>
      <c r="E26" s="347" t="s">
        <v>19</v>
      </c>
      <c r="F26" s="347"/>
      <c r="G26" s="253" t="s">
        <v>4</v>
      </c>
      <c r="H26" s="254" t="s">
        <v>5</v>
      </c>
      <c r="I26" s="254" t="s">
        <v>6</v>
      </c>
      <c r="J26" s="254" t="s">
        <v>7</v>
      </c>
      <c r="K26" s="172"/>
      <c r="L26" s="145">
        <f t="shared" si="8"/>
        <v>2</v>
      </c>
      <c r="M26" s="156" t="str">
        <f t="shared" si="9"/>
        <v/>
      </c>
      <c r="N26" s="157" t="str">
        <f t="shared" si="10"/>
        <v/>
      </c>
      <c r="O26" s="157" t="str">
        <f t="shared" si="11"/>
        <v/>
      </c>
      <c r="P26" s="158" t="str">
        <f t="shared" si="12"/>
        <v/>
      </c>
      <c r="Q26" s="157" t="str">
        <f t="shared" si="13"/>
        <v/>
      </c>
      <c r="R26" s="157" t="str">
        <f t="shared" si="14"/>
        <v/>
      </c>
    </row>
    <row r="27" spans="1:36" ht="52.8" hidden="1" x14ac:dyDescent="0.25">
      <c r="A27" s="271" t="s">
        <v>20</v>
      </c>
      <c r="B27" s="256" t="s">
        <v>365</v>
      </c>
      <c r="C27" s="271" t="s">
        <v>10</v>
      </c>
      <c r="D27" s="271" t="s">
        <v>366</v>
      </c>
      <c r="E27" s="362" t="s">
        <v>21</v>
      </c>
      <c r="F27" s="362"/>
      <c r="G27" s="255" t="s">
        <v>15</v>
      </c>
      <c r="H27" s="258">
        <v>1</v>
      </c>
      <c r="I27" s="257">
        <f>SUMIF(L:L,$L27,M:M)</f>
        <v>457.03</v>
      </c>
      <c r="J27" s="257">
        <f>TRUNC(H27*I27,2)</f>
        <v>457.03</v>
      </c>
      <c r="K27" s="172"/>
      <c r="L27" s="145">
        <f t="shared" si="8"/>
        <v>2</v>
      </c>
      <c r="M27" s="156" t="str">
        <f t="shared" si="9"/>
        <v/>
      </c>
      <c r="N27" s="157" t="str">
        <f t="shared" si="10"/>
        <v/>
      </c>
      <c r="O27" s="157" t="str">
        <f t="shared" si="11"/>
        <v/>
      </c>
      <c r="P27" s="158" t="str">
        <f t="shared" si="12"/>
        <v xml:space="preserve"> 73847/001 </v>
      </c>
      <c r="Q27" s="157">
        <f t="shared" si="13"/>
        <v>0</v>
      </c>
      <c r="R27" s="157">
        <f t="shared" si="14"/>
        <v>457.03</v>
      </c>
    </row>
    <row r="28" spans="1:36" ht="14.25" hidden="1" customHeight="1" x14ac:dyDescent="0.25">
      <c r="A28" s="273" t="s">
        <v>31</v>
      </c>
      <c r="B28" s="265" t="s">
        <v>333</v>
      </c>
      <c r="C28" s="273" t="str">
        <f>VLOOKUP(B28,INSUMOS!$A:$I,2,FALSE)</f>
        <v>SINAPI</v>
      </c>
      <c r="D28" s="273" t="str">
        <f>VLOOKUP(B28,INSUMOS!$A:$I,3,FALSE)</f>
        <v>LOCACAO DE CONTAINER 2,30  X  6,00 M, ALT. 2,50 M, PARA ESCRITORIO, SEM DIVISORIAS INTERNAS E SEM SANITARIO</v>
      </c>
      <c r="E28" s="361" t="str">
        <f>VLOOKUP(B28,INSUMOS!$A:$I,4,FALSE)</f>
        <v>Equipamento</v>
      </c>
      <c r="F28" s="361"/>
      <c r="G28" s="264" t="str">
        <f>VLOOKUP(B28,INSUMOS!$A:$I,5,FALSE)</f>
        <v>MES</v>
      </c>
      <c r="H28" s="267">
        <v>1</v>
      </c>
      <c r="I28" s="266">
        <f>VLOOKUP(B28,INSUMOS!$A:$I,8,FALSE)</f>
        <v>457.03</v>
      </c>
      <c r="J28" s="266">
        <f>TRUNC(H28*I28,2)</f>
        <v>457.03</v>
      </c>
      <c r="K28" s="172"/>
      <c r="L28" s="145">
        <f t="shared" si="8"/>
        <v>2</v>
      </c>
      <c r="M28" s="156">
        <f t="shared" si="9"/>
        <v>457.03</v>
      </c>
      <c r="N28" s="157" t="str">
        <f t="shared" si="10"/>
        <v/>
      </c>
      <c r="O28" s="157">
        <f t="shared" si="11"/>
        <v>457.03</v>
      </c>
      <c r="P28" s="158" t="str">
        <f t="shared" si="12"/>
        <v/>
      </c>
      <c r="Q28" s="157" t="str">
        <f t="shared" si="13"/>
        <v/>
      </c>
      <c r="R28" s="157" t="str">
        <f t="shared" si="14"/>
        <v/>
      </c>
    </row>
    <row r="29" spans="1:36" ht="15" hidden="1" customHeight="1" x14ac:dyDescent="0.25">
      <c r="A29" s="274"/>
      <c r="B29" s="274"/>
      <c r="C29" s="274"/>
      <c r="D29" s="274"/>
      <c r="E29" s="274"/>
      <c r="F29" s="268"/>
      <c r="G29" s="274"/>
      <c r="H29" s="268"/>
      <c r="I29" s="274"/>
      <c r="J29" s="268"/>
      <c r="K29" s="172"/>
      <c r="L29" s="145">
        <f t="shared" si="8"/>
        <v>2</v>
      </c>
      <c r="M29" s="156" t="str">
        <f t="shared" si="9"/>
        <v/>
      </c>
      <c r="N29" s="157" t="str">
        <f t="shared" si="10"/>
        <v/>
      </c>
      <c r="O29" s="157" t="str">
        <f t="shared" si="11"/>
        <v/>
      </c>
      <c r="P29" s="158" t="str">
        <f t="shared" si="12"/>
        <v/>
      </c>
      <c r="Q29" s="157" t="str">
        <f t="shared" si="13"/>
        <v/>
      </c>
      <c r="R29" s="157" t="str">
        <f t="shared" si="14"/>
        <v/>
      </c>
    </row>
    <row r="30" spans="1:36" ht="14.25" hidden="1" customHeight="1" thickBot="1" x14ac:dyDescent="0.3">
      <c r="A30" s="274"/>
      <c r="B30" s="274"/>
      <c r="C30" s="274"/>
      <c r="D30" s="274"/>
      <c r="E30" s="274"/>
      <c r="F30" s="268"/>
      <c r="G30" s="274"/>
      <c r="H30" s="350"/>
      <c r="I30" s="350"/>
      <c r="J30" s="268"/>
      <c r="K30" s="172"/>
      <c r="L30" s="145">
        <f t="shared" si="8"/>
        <v>2</v>
      </c>
      <c r="M30" s="156" t="str">
        <f t="shared" si="9"/>
        <v/>
      </c>
      <c r="N30" s="157" t="str">
        <f t="shared" si="10"/>
        <v/>
      </c>
      <c r="O30" s="157" t="str">
        <f t="shared" si="11"/>
        <v/>
      </c>
      <c r="P30" s="158" t="str">
        <f t="shared" si="12"/>
        <v/>
      </c>
      <c r="Q30" s="157" t="str">
        <f t="shared" si="13"/>
        <v/>
      </c>
      <c r="R30" s="157" t="str">
        <f t="shared" si="14"/>
        <v/>
      </c>
    </row>
    <row r="31" spans="1:36" ht="14.4" hidden="1" thickTop="1" x14ac:dyDescent="0.2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172"/>
      <c r="L31" s="145">
        <f t="shared" si="8"/>
        <v>3</v>
      </c>
      <c r="M31" s="156" t="str">
        <f t="shared" si="9"/>
        <v/>
      </c>
      <c r="N31" s="157" t="str">
        <f t="shared" si="10"/>
        <v/>
      </c>
      <c r="O31" s="157" t="str">
        <f t="shared" si="11"/>
        <v/>
      </c>
      <c r="P31" s="158" t="str">
        <f t="shared" si="12"/>
        <v/>
      </c>
      <c r="Q31" s="157" t="str">
        <f t="shared" si="13"/>
        <v/>
      </c>
      <c r="R31" s="157" t="str">
        <f t="shared" si="14"/>
        <v/>
      </c>
    </row>
    <row r="32" spans="1:36" ht="25.5" hidden="1" customHeight="1" x14ac:dyDescent="0.25">
      <c r="A32" s="270" t="s">
        <v>639</v>
      </c>
      <c r="B32" s="254" t="s">
        <v>1</v>
      </c>
      <c r="C32" s="270" t="s">
        <v>2</v>
      </c>
      <c r="D32" s="270" t="s">
        <v>3</v>
      </c>
      <c r="E32" s="347" t="s">
        <v>19</v>
      </c>
      <c r="F32" s="347"/>
      <c r="G32" s="253" t="s">
        <v>4</v>
      </c>
      <c r="H32" s="254" t="s">
        <v>5</v>
      </c>
      <c r="I32" s="254" t="s">
        <v>6</v>
      </c>
      <c r="J32" s="254" t="s">
        <v>7</v>
      </c>
      <c r="K32" s="172"/>
      <c r="L32" s="145">
        <f t="shared" si="8"/>
        <v>3</v>
      </c>
      <c r="M32" s="156" t="str">
        <f t="shared" si="9"/>
        <v/>
      </c>
      <c r="N32" s="157" t="str">
        <f t="shared" si="10"/>
        <v/>
      </c>
      <c r="O32" s="157" t="str">
        <f t="shared" si="11"/>
        <v/>
      </c>
      <c r="P32" s="158" t="str">
        <f t="shared" si="12"/>
        <v/>
      </c>
      <c r="Q32" s="157" t="str">
        <f t="shared" si="13"/>
        <v/>
      </c>
      <c r="R32" s="157" t="str">
        <f t="shared" si="14"/>
        <v/>
      </c>
    </row>
    <row r="33" spans="1:29" ht="14.25" hidden="1" customHeight="1" x14ac:dyDescent="0.25">
      <c r="A33" s="271" t="s">
        <v>20</v>
      </c>
      <c r="B33" s="256" t="s">
        <v>367</v>
      </c>
      <c r="C33" s="271" t="s">
        <v>13</v>
      </c>
      <c r="D33" s="271" t="s">
        <v>343</v>
      </c>
      <c r="E33" s="362" t="s">
        <v>21</v>
      </c>
      <c r="F33" s="362"/>
      <c r="G33" s="255" t="s">
        <v>14</v>
      </c>
      <c r="H33" s="258">
        <v>1</v>
      </c>
      <c r="I33" s="257">
        <f>SUMIF(L:L,$L33,M:M)</f>
        <v>840.4</v>
      </c>
      <c r="J33" s="257">
        <f>TRUNC(H33*I33,2)</f>
        <v>840.4</v>
      </c>
      <c r="K33" s="172"/>
      <c r="L33" s="145">
        <f t="shared" si="8"/>
        <v>3</v>
      </c>
      <c r="M33" s="156" t="str">
        <f t="shared" si="9"/>
        <v/>
      </c>
      <c r="N33" s="157" t="str">
        <f t="shared" si="10"/>
        <v/>
      </c>
      <c r="O33" s="157" t="str">
        <f t="shared" si="11"/>
        <v/>
      </c>
      <c r="P33" s="158" t="str">
        <f t="shared" si="12"/>
        <v xml:space="preserve"> S-PRE-LOCA-30132 </v>
      </c>
      <c r="Q33" s="157">
        <f t="shared" si="13"/>
        <v>0</v>
      </c>
      <c r="R33" s="157">
        <f t="shared" si="14"/>
        <v>840.4</v>
      </c>
    </row>
    <row r="34" spans="1:29" ht="14.25" hidden="1" customHeight="1" x14ac:dyDescent="0.25">
      <c r="A34" s="273" t="s">
        <v>31</v>
      </c>
      <c r="B34" s="265" t="s">
        <v>342</v>
      </c>
      <c r="C34" s="273" t="str">
        <f>VLOOKUP(B34,INSUMOS!$A:$I,2,FALSE)</f>
        <v>Próprio</v>
      </c>
      <c r="D34" s="273" t="str">
        <f>VLOOKUP(B34,INSUMOS!$A:$I,3,FALSE)</f>
        <v>MOBILIZAÇÃO E DESMOBILIZAÇÃO DE CONTAINER</v>
      </c>
      <c r="E34" s="361" t="str">
        <f>VLOOKUP(B34,INSUMOS!$A:$I,4,FALSE)</f>
        <v>Material</v>
      </c>
      <c r="F34" s="361"/>
      <c r="G34" s="264" t="str">
        <f>VLOOKUP(B34,INSUMOS!$A:$I,5,FALSE)</f>
        <v>UN</v>
      </c>
      <c r="H34" s="267">
        <v>2</v>
      </c>
      <c r="I34" s="266">
        <f>VLOOKUP(B34,INSUMOS!$A:$I,8,FALSE)</f>
        <v>420.2</v>
      </c>
      <c r="J34" s="266">
        <f>TRUNC(H34*I34,2)</f>
        <v>840.4</v>
      </c>
      <c r="K34" s="172"/>
      <c r="L34" s="145">
        <f t="shared" si="8"/>
        <v>3</v>
      </c>
      <c r="M34" s="156">
        <f t="shared" si="9"/>
        <v>840.4</v>
      </c>
      <c r="N34" s="157" t="str">
        <f t="shared" si="10"/>
        <v/>
      </c>
      <c r="O34" s="157">
        <f t="shared" si="11"/>
        <v>840.4</v>
      </c>
      <c r="P34" s="158" t="str">
        <f t="shared" si="12"/>
        <v/>
      </c>
      <c r="Q34" s="157" t="str">
        <f t="shared" si="13"/>
        <v/>
      </c>
      <c r="R34" s="157" t="str">
        <f t="shared" si="14"/>
        <v/>
      </c>
    </row>
    <row r="35" spans="1:29" ht="14.25" hidden="1" customHeight="1" x14ac:dyDescent="0.25">
      <c r="A35" s="274"/>
      <c r="B35" s="274"/>
      <c r="C35" s="274"/>
      <c r="D35" s="274"/>
      <c r="E35" s="274"/>
      <c r="F35" s="268"/>
      <c r="G35" s="274"/>
      <c r="H35" s="268"/>
      <c r="I35" s="274"/>
      <c r="J35" s="268"/>
      <c r="K35" s="172"/>
      <c r="L35" s="145">
        <f t="shared" si="8"/>
        <v>3</v>
      </c>
      <c r="M35" s="156" t="str">
        <f t="shared" si="9"/>
        <v/>
      </c>
      <c r="N35" s="157" t="str">
        <f t="shared" si="10"/>
        <v/>
      </c>
      <c r="O35" s="157" t="str">
        <f t="shared" si="11"/>
        <v/>
      </c>
      <c r="P35" s="158" t="str">
        <f t="shared" si="12"/>
        <v/>
      </c>
      <c r="Q35" s="157" t="str">
        <f t="shared" si="13"/>
        <v/>
      </c>
      <c r="R35" s="157" t="str">
        <f t="shared" si="14"/>
        <v/>
      </c>
    </row>
    <row r="36" spans="1:29" ht="15" hidden="1" customHeight="1" thickBot="1" x14ac:dyDescent="0.3">
      <c r="A36" s="274"/>
      <c r="B36" s="274"/>
      <c r="C36" s="274"/>
      <c r="D36" s="274"/>
      <c r="E36" s="274"/>
      <c r="F36" s="268"/>
      <c r="G36" s="274"/>
      <c r="H36" s="350"/>
      <c r="I36" s="350"/>
      <c r="J36" s="268"/>
      <c r="K36" s="172"/>
      <c r="L36" s="145">
        <f t="shared" si="8"/>
        <v>3</v>
      </c>
      <c r="M36" s="156" t="str">
        <f t="shared" si="9"/>
        <v/>
      </c>
      <c r="N36" s="157" t="str">
        <f t="shared" si="10"/>
        <v/>
      </c>
      <c r="O36" s="157" t="str">
        <f t="shared" si="11"/>
        <v/>
      </c>
      <c r="P36" s="158" t="str">
        <f t="shared" si="12"/>
        <v/>
      </c>
      <c r="Q36" s="157" t="str">
        <f t="shared" si="13"/>
        <v/>
      </c>
      <c r="R36" s="157" t="str">
        <f t="shared" si="14"/>
        <v/>
      </c>
    </row>
    <row r="37" spans="1:29" ht="15" hidden="1" customHeight="1" thickTop="1" x14ac:dyDescent="0.25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172"/>
      <c r="L37" s="145">
        <f t="shared" si="8"/>
        <v>4</v>
      </c>
      <c r="M37" s="156" t="str">
        <f t="shared" si="9"/>
        <v/>
      </c>
      <c r="N37" s="157" t="str">
        <f t="shared" si="10"/>
        <v/>
      </c>
      <c r="O37" s="157" t="str">
        <f t="shared" si="11"/>
        <v/>
      </c>
      <c r="P37" s="158" t="str">
        <f t="shared" si="12"/>
        <v/>
      </c>
      <c r="Q37" s="157" t="str">
        <f t="shared" si="13"/>
        <v/>
      </c>
      <c r="R37" s="157" t="str">
        <f t="shared" si="14"/>
        <v/>
      </c>
    </row>
    <row r="38" spans="1:29" hidden="1" x14ac:dyDescent="0.25">
      <c r="A38" s="270" t="s">
        <v>640</v>
      </c>
      <c r="B38" s="254" t="s">
        <v>1</v>
      </c>
      <c r="C38" s="270" t="s">
        <v>2</v>
      </c>
      <c r="D38" s="270" t="s">
        <v>3</v>
      </c>
      <c r="E38" s="347" t="s">
        <v>19</v>
      </c>
      <c r="F38" s="347"/>
      <c r="G38" s="253" t="s">
        <v>4</v>
      </c>
      <c r="H38" s="254" t="s">
        <v>5</v>
      </c>
      <c r="I38" s="254" t="s">
        <v>6</v>
      </c>
      <c r="J38" s="254" t="s">
        <v>7</v>
      </c>
      <c r="K38" s="172"/>
      <c r="L38" s="145">
        <f t="shared" si="8"/>
        <v>4</v>
      </c>
      <c r="M38" s="156" t="str">
        <f t="shared" si="9"/>
        <v/>
      </c>
      <c r="N38" s="157" t="str">
        <f t="shared" si="10"/>
        <v/>
      </c>
      <c r="O38" s="157" t="str">
        <f t="shared" si="11"/>
        <v/>
      </c>
      <c r="P38" s="158" t="str">
        <f t="shared" si="12"/>
        <v/>
      </c>
      <c r="Q38" s="157" t="str">
        <f t="shared" si="13"/>
        <v/>
      </c>
      <c r="R38" s="157" t="str">
        <f t="shared" si="14"/>
        <v/>
      </c>
      <c r="Y38" s="173"/>
      <c r="Z38" s="173"/>
      <c r="AA38" s="173"/>
      <c r="AB38" s="173"/>
      <c r="AC38" s="173"/>
    </row>
    <row r="39" spans="1:29" ht="25.5" hidden="1" customHeight="1" x14ac:dyDescent="0.25">
      <c r="A39" s="271" t="s">
        <v>20</v>
      </c>
      <c r="B39" s="256" t="s">
        <v>641</v>
      </c>
      <c r="C39" s="271" t="s">
        <v>10</v>
      </c>
      <c r="D39" s="271" t="s">
        <v>642</v>
      </c>
      <c r="E39" s="362" t="s">
        <v>306</v>
      </c>
      <c r="F39" s="362"/>
      <c r="G39" s="255" t="s">
        <v>14</v>
      </c>
      <c r="H39" s="258">
        <v>1</v>
      </c>
      <c r="I39" s="257">
        <f>SUMIF(L:L,$L39,M:M)</f>
        <v>88.59</v>
      </c>
      <c r="J39" s="257">
        <f>TRUNC(H39*I39,2)</f>
        <v>88.59</v>
      </c>
      <c r="K39" s="172"/>
      <c r="L39" s="145">
        <f t="shared" si="8"/>
        <v>4</v>
      </c>
      <c r="M39" s="156" t="str">
        <f t="shared" si="9"/>
        <v/>
      </c>
      <c r="N39" s="157" t="str">
        <f t="shared" si="10"/>
        <v/>
      </c>
      <c r="O39" s="157" t="str">
        <f t="shared" si="11"/>
        <v/>
      </c>
      <c r="P39" s="158" t="str">
        <f t="shared" si="12"/>
        <v xml:space="preserve"> 90440 </v>
      </c>
      <c r="Q39" s="157">
        <f t="shared" si="13"/>
        <v>0</v>
      </c>
      <c r="R39" s="157">
        <f t="shared" si="14"/>
        <v>88.59</v>
      </c>
      <c r="Y39" s="173"/>
      <c r="Z39" s="173"/>
      <c r="AA39" s="173"/>
      <c r="AB39" s="173"/>
      <c r="AC39" s="173"/>
    </row>
    <row r="40" spans="1:29" ht="25.5" hidden="1" customHeight="1" x14ac:dyDescent="0.25">
      <c r="A40" s="272" t="s">
        <v>22</v>
      </c>
      <c r="B40" s="261" t="s">
        <v>643</v>
      </c>
      <c r="C40" s="272" t="s">
        <v>10</v>
      </c>
      <c r="D40" s="272" t="s">
        <v>644</v>
      </c>
      <c r="E40" s="363" t="s">
        <v>44</v>
      </c>
      <c r="F40" s="363"/>
      <c r="G40" s="260" t="s">
        <v>45</v>
      </c>
      <c r="H40" s="263">
        <v>0.58699999999999997</v>
      </c>
      <c r="I40" s="262">
        <f>SUMIFS(J:J,A:A,"Composição",B:B,$B40)</f>
        <v>22.07</v>
      </c>
      <c r="J40" s="262">
        <f>TRUNC(H40*I40,2)</f>
        <v>12.95</v>
      </c>
      <c r="K40" s="172"/>
      <c r="L40" s="145">
        <f t="shared" si="8"/>
        <v>4</v>
      </c>
      <c r="M40" s="156">
        <f t="shared" si="9"/>
        <v>12.95</v>
      </c>
      <c r="N40" s="157" t="str">
        <f t="shared" si="10"/>
        <v/>
      </c>
      <c r="O40" s="157">
        <f t="shared" si="11"/>
        <v>12.95</v>
      </c>
      <c r="P40" s="158" t="str">
        <f t="shared" si="12"/>
        <v/>
      </c>
      <c r="Q40" s="157" t="str">
        <f t="shared" si="13"/>
        <v/>
      </c>
      <c r="R40" s="157" t="str">
        <f t="shared" si="14"/>
        <v/>
      </c>
      <c r="Y40" s="173"/>
      <c r="Z40" s="173"/>
      <c r="AA40" s="173"/>
      <c r="AB40" s="173"/>
      <c r="AC40" s="173"/>
    </row>
    <row r="41" spans="1:29" ht="25.5" hidden="1" customHeight="1" x14ac:dyDescent="0.25">
      <c r="A41" s="272" t="s">
        <v>22</v>
      </c>
      <c r="B41" s="261" t="s">
        <v>645</v>
      </c>
      <c r="C41" s="272" t="s">
        <v>10</v>
      </c>
      <c r="D41" s="272" t="s">
        <v>646</v>
      </c>
      <c r="E41" s="363" t="s">
        <v>44</v>
      </c>
      <c r="F41" s="363"/>
      <c r="G41" s="260" t="s">
        <v>46</v>
      </c>
      <c r="H41" s="263">
        <v>1.29</v>
      </c>
      <c r="I41" s="262">
        <f>SUMIFS(J:J,A:A,"Composição",B:B,$B41)</f>
        <v>20.440000000000001</v>
      </c>
      <c r="J41" s="262">
        <f>TRUNC(H41*I41,2)</f>
        <v>26.36</v>
      </c>
      <c r="K41" s="172"/>
      <c r="L41" s="145">
        <f t="shared" si="8"/>
        <v>4</v>
      </c>
      <c r="M41" s="156">
        <f t="shared" si="9"/>
        <v>26.36</v>
      </c>
      <c r="N41" s="157" t="str">
        <f t="shared" si="10"/>
        <v/>
      </c>
      <c r="O41" s="157">
        <f t="shared" si="11"/>
        <v>26.36</v>
      </c>
      <c r="P41" s="158" t="str">
        <f t="shared" si="12"/>
        <v/>
      </c>
      <c r="Q41" s="157" t="str">
        <f t="shared" si="13"/>
        <v/>
      </c>
      <c r="R41" s="157" t="str">
        <f t="shared" si="14"/>
        <v/>
      </c>
      <c r="Y41" s="173"/>
      <c r="Z41" s="173"/>
      <c r="AA41" s="173"/>
      <c r="AB41" s="173"/>
      <c r="AC41" s="173"/>
    </row>
    <row r="42" spans="1:29" ht="26.4" hidden="1" x14ac:dyDescent="0.25">
      <c r="A42" s="272" t="s">
        <v>22</v>
      </c>
      <c r="B42" s="261" t="s">
        <v>302</v>
      </c>
      <c r="C42" s="272" t="s">
        <v>10</v>
      </c>
      <c r="D42" s="272" t="s">
        <v>303</v>
      </c>
      <c r="E42" s="363" t="s">
        <v>27</v>
      </c>
      <c r="F42" s="363"/>
      <c r="G42" s="260" t="s">
        <v>28</v>
      </c>
      <c r="H42" s="263">
        <v>0.29299999999999998</v>
      </c>
      <c r="I42" s="262">
        <f>SUMIFS(J:J,A:A,"Composição",B:B,$B42)</f>
        <v>18.23</v>
      </c>
      <c r="J42" s="262">
        <f>TRUNC(H42*I42,2)</f>
        <v>5.34</v>
      </c>
      <c r="K42" s="172"/>
      <c r="L42" s="145">
        <f t="shared" si="8"/>
        <v>4</v>
      </c>
      <c r="M42" s="156">
        <f t="shared" si="9"/>
        <v>5.34</v>
      </c>
      <c r="N42" s="157" t="str">
        <f t="shared" si="10"/>
        <v/>
      </c>
      <c r="O42" s="157">
        <f t="shared" si="11"/>
        <v>5.34</v>
      </c>
      <c r="P42" s="158" t="str">
        <f t="shared" si="12"/>
        <v/>
      </c>
      <c r="Q42" s="157" t="str">
        <f t="shared" si="13"/>
        <v/>
      </c>
      <c r="R42" s="157" t="str">
        <f t="shared" si="14"/>
        <v/>
      </c>
      <c r="Y42" s="173"/>
      <c r="Z42" s="173"/>
      <c r="AA42" s="173"/>
      <c r="AB42" s="173"/>
      <c r="AC42" s="173"/>
    </row>
    <row r="43" spans="1:29" ht="26.4" hidden="1" x14ac:dyDescent="0.25">
      <c r="A43" s="272" t="s">
        <v>22</v>
      </c>
      <c r="B43" s="261" t="s">
        <v>307</v>
      </c>
      <c r="C43" s="272" t="s">
        <v>10</v>
      </c>
      <c r="D43" s="272" t="s">
        <v>308</v>
      </c>
      <c r="E43" s="363" t="s">
        <v>27</v>
      </c>
      <c r="F43" s="363"/>
      <c r="G43" s="260" t="s">
        <v>28</v>
      </c>
      <c r="H43" s="263">
        <v>1.877</v>
      </c>
      <c r="I43" s="262">
        <f>SUMIFS(J:J,A:A,"Composição",B:B,$B43)</f>
        <v>23.41</v>
      </c>
      <c r="J43" s="262">
        <f>TRUNC(H43*I43,2)</f>
        <v>43.94</v>
      </c>
      <c r="K43" s="172"/>
      <c r="L43" s="145">
        <f t="shared" si="8"/>
        <v>4</v>
      </c>
      <c r="M43" s="156">
        <f t="shared" si="9"/>
        <v>43.94</v>
      </c>
      <c r="N43" s="157" t="str">
        <f t="shared" si="10"/>
        <v/>
      </c>
      <c r="O43" s="157">
        <f t="shared" si="11"/>
        <v>43.94</v>
      </c>
      <c r="P43" s="158" t="str">
        <f t="shared" si="12"/>
        <v/>
      </c>
      <c r="Q43" s="157" t="str">
        <f t="shared" si="13"/>
        <v/>
      </c>
      <c r="R43" s="157" t="str">
        <f t="shared" si="14"/>
        <v/>
      </c>
      <c r="Y43" s="173"/>
      <c r="Z43" s="173"/>
      <c r="AA43" s="173"/>
      <c r="AB43" s="173"/>
      <c r="AC43" s="173"/>
    </row>
    <row r="44" spans="1:29" ht="14.25" hidden="1" customHeight="1" x14ac:dyDescent="0.25">
      <c r="A44" s="274"/>
      <c r="B44" s="274"/>
      <c r="C44" s="274"/>
      <c r="D44" s="274"/>
      <c r="E44" s="274"/>
      <c r="F44" s="268"/>
      <c r="G44" s="274"/>
      <c r="H44" s="268"/>
      <c r="I44" s="274"/>
      <c r="J44" s="268"/>
      <c r="K44" s="172"/>
      <c r="L44" s="145">
        <f t="shared" si="8"/>
        <v>4</v>
      </c>
      <c r="M44" s="156" t="str">
        <f t="shared" si="9"/>
        <v/>
      </c>
      <c r="N44" s="157" t="str">
        <f t="shared" si="10"/>
        <v/>
      </c>
      <c r="O44" s="157" t="str">
        <f t="shared" si="11"/>
        <v/>
      </c>
      <c r="P44" s="158" t="str">
        <f t="shared" si="12"/>
        <v/>
      </c>
      <c r="Q44" s="157" t="str">
        <f t="shared" si="13"/>
        <v/>
      </c>
      <c r="R44" s="157" t="str">
        <f t="shared" si="14"/>
        <v/>
      </c>
      <c r="Y44" s="173"/>
      <c r="Z44" s="173"/>
      <c r="AA44" s="173"/>
      <c r="AB44" s="173"/>
      <c r="AC44" s="173"/>
    </row>
    <row r="45" spans="1:29" ht="15" hidden="1" customHeight="1" thickBot="1" x14ac:dyDescent="0.3">
      <c r="A45" s="274"/>
      <c r="B45" s="274"/>
      <c r="C45" s="274"/>
      <c r="D45" s="274"/>
      <c r="E45" s="274"/>
      <c r="F45" s="268"/>
      <c r="G45" s="274"/>
      <c r="H45" s="350"/>
      <c r="I45" s="350"/>
      <c r="J45" s="268"/>
      <c r="K45" s="172"/>
      <c r="L45" s="145">
        <f t="shared" si="8"/>
        <v>4</v>
      </c>
      <c r="M45" s="156" t="str">
        <f t="shared" si="9"/>
        <v/>
      </c>
      <c r="N45" s="157" t="str">
        <f t="shared" si="10"/>
        <v/>
      </c>
      <c r="O45" s="157" t="str">
        <f t="shared" si="11"/>
        <v/>
      </c>
      <c r="P45" s="158" t="str">
        <f t="shared" si="12"/>
        <v/>
      </c>
      <c r="Q45" s="157" t="str">
        <f t="shared" si="13"/>
        <v/>
      </c>
      <c r="R45" s="157" t="str">
        <f t="shared" si="14"/>
        <v/>
      </c>
      <c r="Y45" s="173"/>
      <c r="Z45" s="173"/>
      <c r="AA45" s="173"/>
      <c r="AB45" s="173"/>
      <c r="AC45" s="173"/>
    </row>
    <row r="46" spans="1:29" ht="15" hidden="1" customHeight="1" thickTop="1" x14ac:dyDescent="0.2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172"/>
      <c r="L46" s="145">
        <f t="shared" si="8"/>
        <v>5</v>
      </c>
      <c r="M46" s="156" t="str">
        <f t="shared" si="9"/>
        <v/>
      </c>
      <c r="N46" s="157" t="str">
        <f t="shared" si="10"/>
        <v/>
      </c>
      <c r="O46" s="157" t="str">
        <f t="shared" si="11"/>
        <v/>
      </c>
      <c r="P46" s="158" t="str">
        <f t="shared" si="12"/>
        <v/>
      </c>
      <c r="Q46" s="157" t="str">
        <f t="shared" si="13"/>
        <v/>
      </c>
      <c r="R46" s="157" t="str">
        <f t="shared" si="14"/>
        <v/>
      </c>
      <c r="Y46" s="173"/>
      <c r="Z46" s="173"/>
      <c r="AA46" s="173"/>
      <c r="AB46" s="173"/>
      <c r="AC46" s="173"/>
    </row>
    <row r="47" spans="1:29" ht="25.5" hidden="1" customHeight="1" x14ac:dyDescent="0.25">
      <c r="A47" s="270" t="s">
        <v>647</v>
      </c>
      <c r="B47" s="254" t="s">
        <v>1</v>
      </c>
      <c r="C47" s="270" t="s">
        <v>2</v>
      </c>
      <c r="D47" s="270" t="s">
        <v>3</v>
      </c>
      <c r="E47" s="347" t="s">
        <v>19</v>
      </c>
      <c r="F47" s="347"/>
      <c r="G47" s="253" t="s">
        <v>4</v>
      </c>
      <c r="H47" s="254" t="s">
        <v>5</v>
      </c>
      <c r="I47" s="254" t="s">
        <v>6</v>
      </c>
      <c r="J47" s="254" t="s">
        <v>7</v>
      </c>
      <c r="K47" s="172"/>
      <c r="L47" s="145">
        <f t="shared" si="8"/>
        <v>5</v>
      </c>
      <c r="M47" s="156" t="str">
        <f t="shared" si="9"/>
        <v/>
      </c>
      <c r="N47" s="157" t="str">
        <f t="shared" si="10"/>
        <v/>
      </c>
      <c r="O47" s="157" t="str">
        <f t="shared" si="11"/>
        <v/>
      </c>
      <c r="P47" s="158" t="str">
        <f t="shared" si="12"/>
        <v/>
      </c>
      <c r="Q47" s="157" t="str">
        <f t="shared" si="13"/>
        <v/>
      </c>
      <c r="R47" s="157" t="str">
        <f t="shared" si="14"/>
        <v/>
      </c>
      <c r="Y47" s="173"/>
      <c r="Z47" s="173"/>
      <c r="AA47" s="173"/>
      <c r="AB47" s="173"/>
      <c r="AC47" s="173"/>
    </row>
    <row r="48" spans="1:29" ht="14.25" hidden="1" customHeight="1" x14ac:dyDescent="0.25">
      <c r="A48" s="271" t="s">
        <v>20</v>
      </c>
      <c r="B48" s="256" t="s">
        <v>648</v>
      </c>
      <c r="C48" s="271" t="s">
        <v>13</v>
      </c>
      <c r="D48" s="271" t="s">
        <v>649</v>
      </c>
      <c r="E48" s="362" t="s">
        <v>315</v>
      </c>
      <c r="F48" s="362"/>
      <c r="G48" s="255" t="s">
        <v>375</v>
      </c>
      <c r="H48" s="258">
        <v>1</v>
      </c>
      <c r="I48" s="257">
        <f>SUMIF(L:L,$L48,M:M)</f>
        <v>3284.32</v>
      </c>
      <c r="J48" s="257">
        <f>TRUNC(H48*I48,2)</f>
        <v>3284.32</v>
      </c>
      <c r="K48" s="172"/>
      <c r="L48" s="145">
        <f t="shared" si="8"/>
        <v>5</v>
      </c>
      <c r="M48" s="156" t="str">
        <f t="shared" si="9"/>
        <v/>
      </c>
      <c r="N48" s="157" t="str">
        <f t="shared" si="10"/>
        <v/>
      </c>
      <c r="O48" s="157" t="str">
        <f t="shared" si="11"/>
        <v/>
      </c>
      <c r="P48" s="158" t="str">
        <f t="shared" si="12"/>
        <v xml:space="preserve"> S-ELE-SFCR-PGR-12 </v>
      </c>
      <c r="Q48" s="157">
        <f t="shared" si="13"/>
        <v>0</v>
      </c>
      <c r="R48" s="157">
        <f t="shared" si="14"/>
        <v>3284.32</v>
      </c>
      <c r="Y48" s="173"/>
      <c r="Z48" s="173"/>
      <c r="AA48" s="173"/>
      <c r="AB48" s="173"/>
      <c r="AC48" s="173"/>
    </row>
    <row r="49" spans="1:18" ht="25.5" hidden="1" customHeight="1" x14ac:dyDescent="0.25">
      <c r="A49" s="272" t="s">
        <v>22</v>
      </c>
      <c r="B49" s="261" t="s">
        <v>650</v>
      </c>
      <c r="C49" s="272" t="s">
        <v>10</v>
      </c>
      <c r="D49" s="272" t="s">
        <v>651</v>
      </c>
      <c r="E49" s="363" t="s">
        <v>27</v>
      </c>
      <c r="F49" s="363"/>
      <c r="G49" s="260" t="s">
        <v>28</v>
      </c>
      <c r="H49" s="263">
        <v>24</v>
      </c>
      <c r="I49" s="262">
        <f>SUMIFS(J:J,A:A,"Composição",B:B,$B49)</f>
        <v>110.31</v>
      </c>
      <c r="J49" s="262">
        <f>TRUNC(H49*I49,2)</f>
        <v>2647.44</v>
      </c>
      <c r="K49" s="172"/>
      <c r="L49" s="145">
        <f t="shared" si="8"/>
        <v>5</v>
      </c>
      <c r="M49" s="156">
        <f t="shared" si="9"/>
        <v>2647.44</v>
      </c>
      <c r="N49" s="157" t="str">
        <f t="shared" si="10"/>
        <v/>
      </c>
      <c r="O49" s="157">
        <f t="shared" si="11"/>
        <v>2647.44</v>
      </c>
      <c r="P49" s="158" t="str">
        <f t="shared" si="12"/>
        <v/>
      </c>
      <c r="Q49" s="157" t="str">
        <f t="shared" si="13"/>
        <v/>
      </c>
      <c r="R49" s="157" t="str">
        <f t="shared" si="14"/>
        <v/>
      </c>
    </row>
    <row r="50" spans="1:18" ht="25.5" hidden="1" customHeight="1" x14ac:dyDescent="0.25">
      <c r="A50" s="272" t="s">
        <v>22</v>
      </c>
      <c r="B50" s="261" t="s">
        <v>652</v>
      </c>
      <c r="C50" s="272" t="s">
        <v>10</v>
      </c>
      <c r="D50" s="272" t="s">
        <v>653</v>
      </c>
      <c r="E50" s="363" t="s">
        <v>27</v>
      </c>
      <c r="F50" s="363"/>
      <c r="G50" s="260" t="s">
        <v>28</v>
      </c>
      <c r="H50" s="263">
        <v>12</v>
      </c>
      <c r="I50" s="262">
        <f>SUMIFS(J:J,A:A,"Composição",B:B,$B50)</f>
        <v>26.18</v>
      </c>
      <c r="J50" s="262">
        <f>TRUNC(H50*I50,2)</f>
        <v>314.16000000000003</v>
      </c>
      <c r="K50" s="172"/>
      <c r="L50" s="145">
        <f t="shared" si="8"/>
        <v>5</v>
      </c>
      <c r="M50" s="156">
        <f t="shared" si="9"/>
        <v>314.16000000000003</v>
      </c>
      <c r="N50" s="157" t="str">
        <f t="shared" si="10"/>
        <v/>
      </c>
      <c r="O50" s="157">
        <f t="shared" si="11"/>
        <v>314.16000000000003</v>
      </c>
      <c r="P50" s="158" t="str">
        <f t="shared" si="12"/>
        <v/>
      </c>
      <c r="Q50" s="157" t="str">
        <f t="shared" si="13"/>
        <v/>
      </c>
      <c r="R50" s="157" t="str">
        <f t="shared" si="14"/>
        <v/>
      </c>
    </row>
    <row r="51" spans="1:18" ht="25.5" hidden="1" customHeight="1" x14ac:dyDescent="0.25">
      <c r="A51" s="273" t="s">
        <v>31</v>
      </c>
      <c r="B51" s="265" t="s">
        <v>517</v>
      </c>
      <c r="C51" s="273" t="str">
        <f>VLOOKUP(B51,INSUMOS!$A:$I,2,FALSE)</f>
        <v>Próprio</v>
      </c>
      <c r="D51" s="273" t="str">
        <f>VLOOKUP(B51,INSUMOS!$A:$I,3,FALSE)</f>
        <v>ART DE PROJETO</v>
      </c>
      <c r="E51" s="361" t="str">
        <f>VLOOKUP(B51,INSUMOS!$A:$I,4,FALSE)</f>
        <v>Taxas</v>
      </c>
      <c r="F51" s="361"/>
      <c r="G51" s="264" t="str">
        <f>VLOOKUP(B51,INSUMOS!$A:$I,5,FALSE)</f>
        <v>UNIDADE</v>
      </c>
      <c r="H51" s="267">
        <v>1</v>
      </c>
      <c r="I51" s="266">
        <f>VLOOKUP(B51,INSUMOS!$A:$I,8,FALSE)</f>
        <v>88.78</v>
      </c>
      <c r="J51" s="266">
        <f>TRUNC(H51*I51,2)</f>
        <v>88.78</v>
      </c>
      <c r="K51" s="172"/>
      <c r="L51" s="145">
        <f t="shared" si="8"/>
        <v>5</v>
      </c>
      <c r="M51" s="156">
        <f t="shared" si="9"/>
        <v>88.78</v>
      </c>
      <c r="N51" s="157" t="str">
        <f t="shared" si="10"/>
        <v/>
      </c>
      <c r="O51" s="157">
        <f t="shared" si="11"/>
        <v>88.78</v>
      </c>
      <c r="P51" s="158" t="str">
        <f t="shared" si="12"/>
        <v/>
      </c>
      <c r="Q51" s="157" t="str">
        <f t="shared" si="13"/>
        <v/>
      </c>
      <c r="R51" s="157" t="str">
        <f t="shared" si="14"/>
        <v/>
      </c>
    </row>
    <row r="52" spans="1:18" ht="26.4" hidden="1" x14ac:dyDescent="0.25">
      <c r="A52" s="273" t="s">
        <v>31</v>
      </c>
      <c r="B52" s="265" t="s">
        <v>464</v>
      </c>
      <c r="C52" s="273" t="str">
        <f>VLOOKUP(B52,INSUMOS!$A:$I,2,FALSE)</f>
        <v>Próprio</v>
      </c>
      <c r="D52" s="273" t="str">
        <f>VLOOKUP(B52,INSUMOS!$A:$I,3,FALSE)</f>
        <v>ART DE EXECUÇÃO</v>
      </c>
      <c r="E52" s="361" t="str">
        <f>VLOOKUP(B52,INSUMOS!$A:$I,4,FALSE)</f>
        <v>Taxas</v>
      </c>
      <c r="F52" s="361"/>
      <c r="G52" s="264" t="str">
        <f>VLOOKUP(B52,INSUMOS!$A:$I,5,FALSE)</f>
        <v>UNIDADE</v>
      </c>
      <c r="H52" s="267">
        <v>1</v>
      </c>
      <c r="I52" s="266">
        <f>VLOOKUP(B52,INSUMOS!$A:$I,8,FALSE)</f>
        <v>233.94</v>
      </c>
      <c r="J52" s="266">
        <f>TRUNC(H52*I52,2)</f>
        <v>233.94</v>
      </c>
      <c r="K52" s="172"/>
      <c r="L52" s="145">
        <f t="shared" si="8"/>
        <v>5</v>
      </c>
      <c r="M52" s="156">
        <f t="shared" si="9"/>
        <v>233.94</v>
      </c>
      <c r="N52" s="157" t="str">
        <f t="shared" si="10"/>
        <v/>
      </c>
      <c r="O52" s="157">
        <f t="shared" si="11"/>
        <v>233.94</v>
      </c>
      <c r="P52" s="158" t="str">
        <f t="shared" si="12"/>
        <v/>
      </c>
      <c r="Q52" s="157" t="str">
        <f t="shared" si="13"/>
        <v/>
      </c>
      <c r="R52" s="157" t="str">
        <f t="shared" si="14"/>
        <v/>
      </c>
    </row>
    <row r="53" spans="1:18" ht="15" hidden="1" customHeight="1" x14ac:dyDescent="0.25">
      <c r="A53" s="274"/>
      <c r="B53" s="274"/>
      <c r="C53" s="274"/>
      <c r="D53" s="274"/>
      <c r="E53" s="274"/>
      <c r="F53" s="268"/>
      <c r="G53" s="274"/>
      <c r="H53" s="268"/>
      <c r="I53" s="274"/>
      <c r="J53" s="268"/>
      <c r="K53" s="172"/>
      <c r="L53" s="145">
        <f t="shared" si="8"/>
        <v>5</v>
      </c>
      <c r="M53" s="156" t="str">
        <f t="shared" si="9"/>
        <v/>
      </c>
      <c r="N53" s="157" t="str">
        <f t="shared" si="10"/>
        <v/>
      </c>
      <c r="O53" s="157" t="str">
        <f t="shared" si="11"/>
        <v/>
      </c>
      <c r="P53" s="158" t="str">
        <f t="shared" si="12"/>
        <v/>
      </c>
      <c r="Q53" s="157" t="str">
        <f t="shared" si="13"/>
        <v/>
      </c>
      <c r="R53" s="157" t="str">
        <f t="shared" si="14"/>
        <v/>
      </c>
    </row>
    <row r="54" spans="1:18" ht="14.4" hidden="1" thickBot="1" x14ac:dyDescent="0.3">
      <c r="A54" s="274"/>
      <c r="B54" s="274"/>
      <c r="C54" s="274"/>
      <c r="D54" s="274"/>
      <c r="E54" s="274"/>
      <c r="F54" s="268"/>
      <c r="G54" s="274"/>
      <c r="H54" s="350"/>
      <c r="I54" s="350"/>
      <c r="J54" s="268"/>
      <c r="K54" s="172"/>
      <c r="L54" s="145">
        <f t="shared" si="8"/>
        <v>5</v>
      </c>
      <c r="M54" s="156" t="str">
        <f t="shared" si="9"/>
        <v/>
      </c>
      <c r="N54" s="157" t="str">
        <f t="shared" si="10"/>
        <v/>
      </c>
      <c r="O54" s="157" t="str">
        <f t="shared" si="11"/>
        <v/>
      </c>
      <c r="P54" s="158" t="str">
        <f t="shared" si="12"/>
        <v/>
      </c>
      <c r="Q54" s="157" t="str">
        <f t="shared" si="13"/>
        <v/>
      </c>
      <c r="R54" s="157" t="str">
        <f t="shared" si="14"/>
        <v/>
      </c>
    </row>
    <row r="55" spans="1:18" ht="15" hidden="1" customHeight="1" thickTop="1" x14ac:dyDescent="0.2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172"/>
      <c r="L55" s="145">
        <f t="shared" si="8"/>
        <v>6</v>
      </c>
      <c r="M55" s="156" t="str">
        <f t="shared" si="9"/>
        <v/>
      </c>
      <c r="N55" s="157" t="str">
        <f t="shared" si="10"/>
        <v/>
      </c>
      <c r="O55" s="157" t="str">
        <f t="shared" si="11"/>
        <v/>
      </c>
      <c r="P55" s="158" t="str">
        <f t="shared" si="12"/>
        <v/>
      </c>
      <c r="Q55" s="157" t="str">
        <f t="shared" si="13"/>
        <v/>
      </c>
      <c r="R55" s="157" t="str">
        <f t="shared" si="14"/>
        <v/>
      </c>
    </row>
    <row r="56" spans="1:18" ht="25.5" hidden="1" customHeight="1" x14ac:dyDescent="0.25">
      <c r="A56" s="270" t="s">
        <v>654</v>
      </c>
      <c r="B56" s="254" t="s">
        <v>1</v>
      </c>
      <c r="C56" s="270" t="s">
        <v>2</v>
      </c>
      <c r="D56" s="270" t="s">
        <v>3</v>
      </c>
      <c r="E56" s="347" t="s">
        <v>19</v>
      </c>
      <c r="F56" s="347"/>
      <c r="G56" s="253" t="s">
        <v>4</v>
      </c>
      <c r="H56" s="254" t="s">
        <v>5</v>
      </c>
      <c r="I56" s="254" t="s">
        <v>6</v>
      </c>
      <c r="J56" s="254" t="s">
        <v>7</v>
      </c>
      <c r="K56" s="172"/>
      <c r="L56" s="145">
        <f t="shared" si="8"/>
        <v>6</v>
      </c>
      <c r="M56" s="156" t="str">
        <f t="shared" si="9"/>
        <v/>
      </c>
      <c r="N56" s="157" t="str">
        <f t="shared" si="10"/>
        <v/>
      </c>
      <c r="O56" s="157" t="str">
        <f t="shared" si="11"/>
        <v/>
      </c>
      <c r="P56" s="158" t="str">
        <f t="shared" si="12"/>
        <v/>
      </c>
      <c r="Q56" s="157" t="str">
        <f t="shared" si="13"/>
        <v/>
      </c>
      <c r="R56" s="157" t="str">
        <f t="shared" si="14"/>
        <v/>
      </c>
    </row>
    <row r="57" spans="1:18" ht="25.5" hidden="1" customHeight="1" x14ac:dyDescent="0.25">
      <c r="A57" s="271" t="s">
        <v>20</v>
      </c>
      <c r="B57" s="256" t="s">
        <v>655</v>
      </c>
      <c r="C57" s="271" t="s">
        <v>13</v>
      </c>
      <c r="D57" s="271" t="s">
        <v>656</v>
      </c>
      <c r="E57" s="362" t="s">
        <v>315</v>
      </c>
      <c r="F57" s="362"/>
      <c r="G57" s="255" t="s">
        <v>375</v>
      </c>
      <c r="H57" s="258">
        <v>1</v>
      </c>
      <c r="I57" s="257">
        <f>SUMIF(L:L,$L57,M:M)</f>
        <v>130371.05</v>
      </c>
      <c r="J57" s="257">
        <f>TRUNC(H57*I57,2)</f>
        <v>130371.05</v>
      </c>
      <c r="K57" s="172"/>
      <c r="L57" s="145">
        <f t="shared" si="8"/>
        <v>6</v>
      </c>
      <c r="M57" s="156" t="str">
        <f t="shared" si="9"/>
        <v/>
      </c>
      <c r="N57" s="157" t="str">
        <f t="shared" si="10"/>
        <v/>
      </c>
      <c r="O57" s="157" t="str">
        <f t="shared" si="11"/>
        <v/>
      </c>
      <c r="P57" s="158" t="str">
        <f t="shared" si="12"/>
        <v xml:space="preserve"> S-ELE-SFCR-PGR-13 </v>
      </c>
      <c r="Q57" s="157">
        <f t="shared" si="13"/>
        <v>0</v>
      </c>
      <c r="R57" s="157">
        <f t="shared" si="14"/>
        <v>130371.05</v>
      </c>
    </row>
    <row r="58" spans="1:18" ht="14.25" hidden="1" customHeight="1" x14ac:dyDescent="0.25">
      <c r="A58" s="272" t="s">
        <v>22</v>
      </c>
      <c r="B58" s="261" t="s">
        <v>313</v>
      </c>
      <c r="C58" s="272" t="s">
        <v>10</v>
      </c>
      <c r="D58" s="272" t="s">
        <v>314</v>
      </c>
      <c r="E58" s="363" t="s">
        <v>27</v>
      </c>
      <c r="F58" s="363"/>
      <c r="G58" s="260" t="s">
        <v>28</v>
      </c>
      <c r="H58" s="263">
        <v>266</v>
      </c>
      <c r="I58" s="262">
        <f>SUMIFS(J:J,A:A,"Composição",B:B,$B58)</f>
        <v>24.1</v>
      </c>
      <c r="J58" s="262">
        <f>TRUNC(H58*I58,2)</f>
        <v>6410.6</v>
      </c>
      <c r="K58" s="172"/>
      <c r="L58" s="145">
        <f t="shared" si="8"/>
        <v>6</v>
      </c>
      <c r="M58" s="156">
        <f t="shared" si="9"/>
        <v>6410.6</v>
      </c>
      <c r="N58" s="157" t="str">
        <f t="shared" si="10"/>
        <v/>
      </c>
      <c r="O58" s="157">
        <f t="shared" si="11"/>
        <v>6410.6</v>
      </c>
      <c r="P58" s="158" t="str">
        <f t="shared" si="12"/>
        <v/>
      </c>
      <c r="Q58" s="157" t="str">
        <f t="shared" si="13"/>
        <v/>
      </c>
      <c r="R58" s="157" t="str">
        <f t="shared" si="14"/>
        <v/>
      </c>
    </row>
    <row r="59" spans="1:18" ht="38.25" hidden="1" customHeight="1" x14ac:dyDescent="0.25">
      <c r="A59" s="272" t="s">
        <v>22</v>
      </c>
      <c r="B59" s="261" t="s">
        <v>298</v>
      </c>
      <c r="C59" s="272" t="s">
        <v>10</v>
      </c>
      <c r="D59" s="272" t="s">
        <v>299</v>
      </c>
      <c r="E59" s="363" t="s">
        <v>27</v>
      </c>
      <c r="F59" s="363"/>
      <c r="G59" s="260" t="s">
        <v>28</v>
      </c>
      <c r="H59" s="263">
        <v>266</v>
      </c>
      <c r="I59" s="262">
        <f>SUMIFS(J:J,A:A,"Composição",B:B,$B59)</f>
        <v>18.739999999999998</v>
      </c>
      <c r="J59" s="262">
        <f>TRUNC(H59*I59,2)</f>
        <v>4984.84</v>
      </c>
      <c r="K59" s="172"/>
      <c r="L59" s="145">
        <f t="shared" si="8"/>
        <v>6</v>
      </c>
      <c r="M59" s="156">
        <f t="shared" si="9"/>
        <v>4984.84</v>
      </c>
      <c r="N59" s="157" t="str">
        <f t="shared" si="10"/>
        <v/>
      </c>
      <c r="O59" s="157">
        <f t="shared" si="11"/>
        <v>4984.84</v>
      </c>
      <c r="P59" s="158" t="str">
        <f t="shared" si="12"/>
        <v/>
      </c>
      <c r="Q59" s="157" t="str">
        <f t="shared" si="13"/>
        <v/>
      </c>
      <c r="R59" s="157" t="str">
        <f t="shared" si="14"/>
        <v/>
      </c>
    </row>
    <row r="60" spans="1:18" ht="39.6" hidden="1" x14ac:dyDescent="0.25">
      <c r="A60" s="273" t="s">
        <v>31</v>
      </c>
      <c r="B60" s="265" t="s">
        <v>372</v>
      </c>
      <c r="C60" s="273" t="str">
        <f>VLOOKUP(B60,INSUMOS!$A:$I,2,FALSE)</f>
        <v>Próprio</v>
      </c>
      <c r="D60" s="273" t="str">
        <f>VLOOKUP(B60,INSUMOS!$A:$I,3,FALSE)</f>
        <v>KIT GERADOR FOTOVOLTAICO (INVERSOR, STRING-BOX, MÓDULOS, CABOS, CONECTORES, ESTRUTURA DE FIXAÇÃO E MONITORAMENTO) 40,80 kWp PARA MONTAGEM EM TELHADO METÁLICO TRAPEZOIDAL</v>
      </c>
      <c r="E60" s="361" t="str">
        <f>VLOOKUP(B60,INSUMOS!$A:$I,4,FALSE)</f>
        <v>Equipamento para Aquisição Permanente</v>
      </c>
      <c r="F60" s="361"/>
      <c r="G60" s="264" t="str">
        <f>VLOOKUP(B60,INSUMOS!$A:$I,5,FALSE)</f>
        <v>UNIDADE</v>
      </c>
      <c r="H60" s="267">
        <v>1</v>
      </c>
      <c r="I60" s="266">
        <f>VLOOKUP(B60,INSUMOS!$A:$I,8,FALSE)</f>
        <v>118975.61</v>
      </c>
      <c r="J60" s="266">
        <f>TRUNC(H60*I60,2)</f>
        <v>118975.61</v>
      </c>
      <c r="K60" s="172"/>
      <c r="L60" s="145">
        <f t="shared" si="8"/>
        <v>6</v>
      </c>
      <c r="M60" s="156">
        <f t="shared" si="9"/>
        <v>118975.61</v>
      </c>
      <c r="N60" s="157" t="str">
        <f t="shared" si="10"/>
        <v/>
      </c>
      <c r="O60" s="157">
        <f t="shared" si="11"/>
        <v>118975.61</v>
      </c>
      <c r="P60" s="158" t="str">
        <f t="shared" si="12"/>
        <v/>
      </c>
      <c r="Q60" s="157" t="str">
        <f t="shared" si="13"/>
        <v/>
      </c>
      <c r="R60" s="157" t="str">
        <f t="shared" si="14"/>
        <v/>
      </c>
    </row>
    <row r="61" spans="1:18" hidden="1" x14ac:dyDescent="0.25">
      <c r="A61" s="274"/>
      <c r="B61" s="274"/>
      <c r="C61" s="274"/>
      <c r="D61" s="274"/>
      <c r="E61" s="274"/>
      <c r="F61" s="268"/>
      <c r="G61" s="274"/>
      <c r="H61" s="268"/>
      <c r="I61" s="274"/>
      <c r="J61" s="268"/>
      <c r="K61" s="172"/>
      <c r="L61" s="145">
        <f t="shared" si="8"/>
        <v>6</v>
      </c>
      <c r="M61" s="156" t="str">
        <f t="shared" si="9"/>
        <v/>
      </c>
      <c r="N61" s="157" t="str">
        <f t="shared" si="10"/>
        <v/>
      </c>
      <c r="O61" s="157" t="str">
        <f t="shared" si="11"/>
        <v/>
      </c>
      <c r="P61" s="158" t="str">
        <f t="shared" si="12"/>
        <v/>
      </c>
      <c r="Q61" s="157" t="str">
        <f t="shared" si="13"/>
        <v/>
      </c>
      <c r="R61" s="157" t="str">
        <f t="shared" si="14"/>
        <v/>
      </c>
    </row>
    <row r="62" spans="1:18" ht="15" hidden="1" customHeight="1" thickBot="1" x14ac:dyDescent="0.3">
      <c r="A62" s="274"/>
      <c r="B62" s="274"/>
      <c r="C62" s="274"/>
      <c r="D62" s="274"/>
      <c r="E62" s="274"/>
      <c r="F62" s="268"/>
      <c r="G62" s="274"/>
      <c r="H62" s="350"/>
      <c r="I62" s="350"/>
      <c r="J62" s="268"/>
      <c r="K62" s="172"/>
      <c r="L62" s="145">
        <f t="shared" si="8"/>
        <v>6</v>
      </c>
      <c r="M62" s="156" t="str">
        <f t="shared" si="9"/>
        <v/>
      </c>
      <c r="N62" s="157" t="str">
        <f t="shared" si="10"/>
        <v/>
      </c>
      <c r="O62" s="157" t="str">
        <f t="shared" si="11"/>
        <v/>
      </c>
      <c r="P62" s="158" t="str">
        <f t="shared" si="12"/>
        <v/>
      </c>
      <c r="Q62" s="157" t="str">
        <f t="shared" si="13"/>
        <v/>
      </c>
      <c r="R62" s="157" t="str">
        <f t="shared" si="14"/>
        <v/>
      </c>
    </row>
    <row r="63" spans="1:18" ht="14.4" hidden="1" thickTop="1" x14ac:dyDescent="0.25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172"/>
      <c r="L63" s="145">
        <f t="shared" si="8"/>
        <v>7</v>
      </c>
      <c r="M63" s="156" t="str">
        <f t="shared" si="9"/>
        <v/>
      </c>
      <c r="N63" s="157" t="str">
        <f t="shared" si="10"/>
        <v/>
      </c>
      <c r="O63" s="157" t="str">
        <f t="shared" si="11"/>
        <v/>
      </c>
      <c r="P63" s="158" t="str">
        <f t="shared" si="12"/>
        <v/>
      </c>
      <c r="Q63" s="157" t="str">
        <f t="shared" si="13"/>
        <v/>
      </c>
      <c r="R63" s="157" t="str">
        <f t="shared" si="14"/>
        <v/>
      </c>
    </row>
    <row r="64" spans="1:18" ht="15" hidden="1" customHeight="1" x14ac:dyDescent="0.25">
      <c r="A64" s="270" t="s">
        <v>657</v>
      </c>
      <c r="B64" s="254" t="s">
        <v>1</v>
      </c>
      <c r="C64" s="270" t="s">
        <v>2</v>
      </c>
      <c r="D64" s="270" t="s">
        <v>3</v>
      </c>
      <c r="E64" s="347" t="s">
        <v>19</v>
      </c>
      <c r="F64" s="347"/>
      <c r="G64" s="253" t="s">
        <v>4</v>
      </c>
      <c r="H64" s="254" t="s">
        <v>5</v>
      </c>
      <c r="I64" s="254" t="s">
        <v>6</v>
      </c>
      <c r="J64" s="254" t="s">
        <v>7</v>
      </c>
      <c r="K64" s="172"/>
      <c r="L64" s="145">
        <f t="shared" si="8"/>
        <v>7</v>
      </c>
      <c r="M64" s="156" t="str">
        <f t="shared" si="9"/>
        <v/>
      </c>
      <c r="N64" s="157" t="str">
        <f t="shared" si="10"/>
        <v/>
      </c>
      <c r="O64" s="157" t="str">
        <f t="shared" si="11"/>
        <v/>
      </c>
      <c r="P64" s="158" t="str">
        <f t="shared" si="12"/>
        <v/>
      </c>
      <c r="Q64" s="157" t="str">
        <f t="shared" si="13"/>
        <v/>
      </c>
      <c r="R64" s="157" t="str">
        <f t="shared" si="14"/>
        <v/>
      </c>
    </row>
    <row r="65" spans="1:18" ht="26.4" hidden="1" x14ac:dyDescent="0.25">
      <c r="A65" s="271" t="s">
        <v>20</v>
      </c>
      <c r="B65" s="256" t="s">
        <v>658</v>
      </c>
      <c r="C65" s="271" t="s">
        <v>13</v>
      </c>
      <c r="D65" s="271" t="s">
        <v>659</v>
      </c>
      <c r="E65" s="362" t="s">
        <v>315</v>
      </c>
      <c r="F65" s="362"/>
      <c r="G65" s="255" t="s">
        <v>375</v>
      </c>
      <c r="H65" s="258">
        <v>1</v>
      </c>
      <c r="I65" s="257">
        <f>SUMIF(L:L,$L65,M:M)</f>
        <v>34.56</v>
      </c>
      <c r="J65" s="257">
        <f>TRUNC(H65*I65,2)</f>
        <v>34.56</v>
      </c>
      <c r="K65" s="172"/>
      <c r="L65" s="145">
        <f t="shared" si="8"/>
        <v>7</v>
      </c>
      <c r="M65" s="156" t="str">
        <f t="shared" si="9"/>
        <v/>
      </c>
      <c r="N65" s="157" t="str">
        <f t="shared" si="10"/>
        <v/>
      </c>
      <c r="O65" s="157" t="str">
        <f t="shared" si="11"/>
        <v/>
      </c>
      <c r="P65" s="158" t="str">
        <f t="shared" si="12"/>
        <v xml:space="preserve"> S-ELE-SFCR-PGR-25 </v>
      </c>
      <c r="Q65" s="157">
        <f t="shared" si="13"/>
        <v>0</v>
      </c>
      <c r="R65" s="157">
        <f t="shared" si="14"/>
        <v>34.56</v>
      </c>
    </row>
    <row r="66" spans="1:18" ht="25.5" hidden="1" customHeight="1" x14ac:dyDescent="0.25">
      <c r="A66" s="272" t="s">
        <v>22</v>
      </c>
      <c r="B66" s="261" t="s">
        <v>298</v>
      </c>
      <c r="C66" s="272" t="s">
        <v>10</v>
      </c>
      <c r="D66" s="272" t="s">
        <v>299</v>
      </c>
      <c r="E66" s="363" t="s">
        <v>27</v>
      </c>
      <c r="F66" s="363"/>
      <c r="G66" s="260" t="s">
        <v>28</v>
      </c>
      <c r="H66" s="263">
        <v>0.25</v>
      </c>
      <c r="I66" s="262">
        <f>SUMIFS(J:J,A:A,"Composição",B:B,$B66)</f>
        <v>18.739999999999998</v>
      </c>
      <c r="J66" s="262">
        <f>TRUNC(H66*I66,2)</f>
        <v>4.68</v>
      </c>
      <c r="K66" s="172"/>
      <c r="L66" s="145">
        <f t="shared" si="8"/>
        <v>7</v>
      </c>
      <c r="M66" s="156">
        <f t="shared" si="9"/>
        <v>4.68</v>
      </c>
      <c r="N66" s="157" t="str">
        <f t="shared" si="10"/>
        <v/>
      </c>
      <c r="O66" s="157">
        <f t="shared" si="11"/>
        <v>4.68</v>
      </c>
      <c r="P66" s="158" t="str">
        <f t="shared" si="12"/>
        <v/>
      </c>
      <c r="Q66" s="157" t="str">
        <f t="shared" si="13"/>
        <v/>
      </c>
      <c r="R66" s="157" t="str">
        <f t="shared" si="14"/>
        <v/>
      </c>
    </row>
    <row r="67" spans="1:18" ht="25.5" hidden="1" customHeight="1" x14ac:dyDescent="0.25">
      <c r="A67" s="273" t="s">
        <v>31</v>
      </c>
      <c r="B67" s="265" t="s">
        <v>572</v>
      </c>
      <c r="C67" s="273" t="str">
        <f>VLOOKUP(B67,INSUMOS!$A:$I,2,FALSE)</f>
        <v>ORSE</v>
      </c>
      <c r="D67" s="273" t="str">
        <f>VLOOKUP(B67,INSUMOS!$A:$I,3,FALSE)</f>
        <v>Fita adesiva marca 3M, largura 22mm, ref. VHB - rolo com 20m</v>
      </c>
      <c r="E67" s="361" t="str">
        <f>VLOOKUP(B67,INSUMOS!$A:$I,4,FALSE)</f>
        <v>Material</v>
      </c>
      <c r="F67" s="361"/>
      <c r="G67" s="264" t="str">
        <f>VLOOKUP(B67,INSUMOS!$A:$I,5,FALSE)</f>
        <v>un</v>
      </c>
      <c r="H67" s="267">
        <v>0.15</v>
      </c>
      <c r="I67" s="266">
        <f>VLOOKUP(B67,INSUMOS!$A:$I,8,FALSE)</f>
        <v>13.21</v>
      </c>
      <c r="J67" s="266">
        <f>TRUNC(H67*I67,2)</f>
        <v>1.98</v>
      </c>
      <c r="K67" s="172"/>
      <c r="L67" s="145">
        <f t="shared" si="8"/>
        <v>7</v>
      </c>
      <c r="M67" s="156">
        <f t="shared" si="9"/>
        <v>1.98</v>
      </c>
      <c r="N67" s="157" t="str">
        <f t="shared" si="10"/>
        <v/>
      </c>
      <c r="O67" s="157">
        <f t="shared" si="11"/>
        <v>1.98</v>
      </c>
      <c r="P67" s="158" t="str">
        <f t="shared" si="12"/>
        <v/>
      </c>
      <c r="Q67" s="157" t="str">
        <f t="shared" si="13"/>
        <v/>
      </c>
      <c r="R67" s="157" t="str">
        <f t="shared" si="14"/>
        <v/>
      </c>
    </row>
    <row r="68" spans="1:18" hidden="1" x14ac:dyDescent="0.25">
      <c r="A68" s="273" t="s">
        <v>31</v>
      </c>
      <c r="B68" s="265" t="s">
        <v>471</v>
      </c>
      <c r="C68" s="273" t="str">
        <f>VLOOKUP(B68,INSUMOS!$A:$I,2,FALSE)</f>
        <v>ORSE</v>
      </c>
      <c r="D68" s="273" t="str">
        <f>VLOOKUP(B68,INSUMOS!$A:$I,3,FALSE)</f>
        <v>Placa indicativa de sentido em pvc, dim.: 20 x 30 cm</v>
      </c>
      <c r="E68" s="361" t="str">
        <f>VLOOKUP(B68,INSUMOS!$A:$I,4,FALSE)</f>
        <v>Material</v>
      </c>
      <c r="F68" s="361"/>
      <c r="G68" s="264" t="str">
        <f>VLOOKUP(B68,INSUMOS!$A:$I,5,FALSE)</f>
        <v>Un</v>
      </c>
      <c r="H68" s="267">
        <v>1</v>
      </c>
      <c r="I68" s="266">
        <f>VLOOKUP(B68,INSUMOS!$A:$I,8,FALSE)</f>
        <v>27.9</v>
      </c>
      <c r="J68" s="266">
        <f>TRUNC(H68*I68,2)</f>
        <v>27.9</v>
      </c>
      <c r="K68" s="172"/>
      <c r="L68" s="145">
        <f t="shared" si="8"/>
        <v>7</v>
      </c>
      <c r="M68" s="156">
        <f t="shared" si="9"/>
        <v>27.9</v>
      </c>
      <c r="N68" s="157" t="str">
        <f t="shared" si="10"/>
        <v/>
      </c>
      <c r="O68" s="157">
        <f t="shared" si="11"/>
        <v>27.9</v>
      </c>
      <c r="P68" s="158" t="str">
        <f t="shared" si="12"/>
        <v/>
      </c>
      <c r="Q68" s="157" t="str">
        <f t="shared" si="13"/>
        <v/>
      </c>
      <c r="R68" s="157" t="str">
        <f t="shared" si="14"/>
        <v/>
      </c>
    </row>
    <row r="69" spans="1:18" ht="25.5" hidden="1" customHeight="1" x14ac:dyDescent="0.25">
      <c r="A69" s="274"/>
      <c r="B69" s="274"/>
      <c r="C69" s="274"/>
      <c r="D69" s="274"/>
      <c r="E69" s="274"/>
      <c r="F69" s="268"/>
      <c r="G69" s="274"/>
      <c r="H69" s="268"/>
      <c r="I69" s="274"/>
      <c r="J69" s="268"/>
      <c r="K69" s="172"/>
      <c r="L69" s="145">
        <f t="shared" si="8"/>
        <v>7</v>
      </c>
      <c r="M69" s="156" t="str">
        <f t="shared" si="9"/>
        <v/>
      </c>
      <c r="N69" s="157" t="str">
        <f t="shared" si="10"/>
        <v/>
      </c>
      <c r="O69" s="157" t="str">
        <f t="shared" si="11"/>
        <v/>
      </c>
      <c r="P69" s="158" t="str">
        <f t="shared" si="12"/>
        <v/>
      </c>
      <c r="Q69" s="157" t="str">
        <f t="shared" si="13"/>
        <v/>
      </c>
      <c r="R69" s="157" t="str">
        <f t="shared" si="14"/>
        <v/>
      </c>
    </row>
    <row r="70" spans="1:18" ht="15" hidden="1" customHeight="1" thickBot="1" x14ac:dyDescent="0.3">
      <c r="A70" s="274"/>
      <c r="B70" s="274"/>
      <c r="C70" s="274"/>
      <c r="D70" s="274"/>
      <c r="E70" s="274"/>
      <c r="F70" s="268"/>
      <c r="G70" s="274"/>
      <c r="H70" s="350"/>
      <c r="I70" s="350"/>
      <c r="J70" s="268"/>
      <c r="K70" s="172"/>
      <c r="L70" s="145">
        <f t="shared" si="8"/>
        <v>7</v>
      </c>
      <c r="M70" s="156" t="str">
        <f t="shared" si="9"/>
        <v/>
      </c>
      <c r="N70" s="157" t="str">
        <f t="shared" si="10"/>
        <v/>
      </c>
      <c r="O70" s="157" t="str">
        <f t="shared" si="11"/>
        <v/>
      </c>
      <c r="P70" s="158" t="str">
        <f t="shared" si="12"/>
        <v/>
      </c>
      <c r="Q70" s="157" t="str">
        <f t="shared" si="13"/>
        <v/>
      </c>
      <c r="R70" s="157" t="str">
        <f t="shared" si="14"/>
        <v/>
      </c>
    </row>
    <row r="71" spans="1:18" ht="14.4" hidden="1" thickTop="1" x14ac:dyDescent="0.2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172"/>
      <c r="L71" s="145">
        <f t="shared" si="8"/>
        <v>8</v>
      </c>
      <c r="M71" s="156" t="str">
        <f t="shared" si="9"/>
        <v/>
      </c>
      <c r="N71" s="157" t="str">
        <f t="shared" si="10"/>
        <v/>
      </c>
      <c r="O71" s="157" t="str">
        <f t="shared" si="11"/>
        <v/>
      </c>
      <c r="P71" s="158" t="str">
        <f t="shared" si="12"/>
        <v/>
      </c>
      <c r="Q71" s="157" t="str">
        <f t="shared" si="13"/>
        <v/>
      </c>
      <c r="R71" s="157" t="str">
        <f t="shared" si="14"/>
        <v/>
      </c>
    </row>
    <row r="72" spans="1:18" hidden="1" x14ac:dyDescent="0.25">
      <c r="A72" s="270" t="s">
        <v>660</v>
      </c>
      <c r="B72" s="254" t="s">
        <v>1</v>
      </c>
      <c r="C72" s="270" t="s">
        <v>2</v>
      </c>
      <c r="D72" s="270" t="s">
        <v>3</v>
      </c>
      <c r="E72" s="347" t="s">
        <v>19</v>
      </c>
      <c r="F72" s="347"/>
      <c r="G72" s="253" t="s">
        <v>4</v>
      </c>
      <c r="H72" s="254" t="s">
        <v>5</v>
      </c>
      <c r="I72" s="254" t="s">
        <v>6</v>
      </c>
      <c r="J72" s="254" t="s">
        <v>7</v>
      </c>
      <c r="K72" s="172"/>
      <c r="L72" s="145">
        <f t="shared" si="8"/>
        <v>8</v>
      </c>
      <c r="M72" s="156" t="str">
        <f t="shared" si="9"/>
        <v/>
      </c>
      <c r="N72" s="157" t="str">
        <f t="shared" si="10"/>
        <v/>
      </c>
      <c r="O72" s="157" t="str">
        <f t="shared" si="11"/>
        <v/>
      </c>
      <c r="P72" s="158" t="str">
        <f t="shared" si="12"/>
        <v/>
      </c>
      <c r="Q72" s="157" t="str">
        <f t="shared" si="13"/>
        <v/>
      </c>
      <c r="R72" s="157" t="str">
        <f t="shared" si="14"/>
        <v/>
      </c>
    </row>
    <row r="73" spans="1:18" ht="14.25" hidden="1" customHeight="1" x14ac:dyDescent="0.25">
      <c r="A73" s="271" t="s">
        <v>20</v>
      </c>
      <c r="B73" s="256" t="s">
        <v>661</v>
      </c>
      <c r="C73" s="271" t="s">
        <v>13</v>
      </c>
      <c r="D73" s="271" t="s">
        <v>662</v>
      </c>
      <c r="E73" s="362" t="s">
        <v>315</v>
      </c>
      <c r="F73" s="362"/>
      <c r="G73" s="255" t="s">
        <v>28</v>
      </c>
      <c r="H73" s="258">
        <v>1</v>
      </c>
      <c r="I73" s="257">
        <f>SUMIF(L:L,$L73,M:M)</f>
        <v>189.89</v>
      </c>
      <c r="J73" s="257">
        <f>TRUNC(H73*I73,2)</f>
        <v>189.89</v>
      </c>
      <c r="K73" s="172"/>
      <c r="L73" s="145">
        <f t="shared" si="8"/>
        <v>8</v>
      </c>
      <c r="M73" s="156" t="str">
        <f t="shared" si="9"/>
        <v/>
      </c>
      <c r="N73" s="157" t="str">
        <f t="shared" si="10"/>
        <v/>
      </c>
      <c r="O73" s="157" t="str">
        <f t="shared" si="11"/>
        <v/>
      </c>
      <c r="P73" s="158" t="str">
        <f t="shared" si="12"/>
        <v xml:space="preserve"> S-ELE-SFCR-PGR-26 </v>
      </c>
      <c r="Q73" s="157">
        <f t="shared" si="13"/>
        <v>0</v>
      </c>
      <c r="R73" s="157">
        <f t="shared" si="14"/>
        <v>189.89</v>
      </c>
    </row>
    <row r="74" spans="1:18" ht="25.5" hidden="1" customHeight="1" x14ac:dyDescent="0.25">
      <c r="A74" s="272" t="s">
        <v>22</v>
      </c>
      <c r="B74" s="261" t="s">
        <v>663</v>
      </c>
      <c r="C74" s="272" t="s">
        <v>10</v>
      </c>
      <c r="D74" s="272" t="s">
        <v>664</v>
      </c>
      <c r="E74" s="363" t="s">
        <v>27</v>
      </c>
      <c r="F74" s="363"/>
      <c r="G74" s="260" t="s">
        <v>28</v>
      </c>
      <c r="H74" s="263">
        <v>1</v>
      </c>
      <c r="I74" s="262">
        <f>SUMIFS(J:J,A:A,"Composição",B:B,$B74)</f>
        <v>18.670000000000002</v>
      </c>
      <c r="J74" s="262">
        <f>TRUNC(H74*I74,2)</f>
        <v>18.670000000000002</v>
      </c>
      <c r="K74" s="172"/>
      <c r="L74" s="145">
        <f t="shared" si="8"/>
        <v>8</v>
      </c>
      <c r="M74" s="156">
        <f t="shared" si="9"/>
        <v>18.670000000000002</v>
      </c>
      <c r="N74" s="157" t="str">
        <f t="shared" si="10"/>
        <v/>
      </c>
      <c r="O74" s="157">
        <f t="shared" si="11"/>
        <v>18.670000000000002</v>
      </c>
      <c r="P74" s="158" t="str">
        <f t="shared" si="12"/>
        <v/>
      </c>
      <c r="Q74" s="157" t="str">
        <f t="shared" si="13"/>
        <v/>
      </c>
      <c r="R74" s="157" t="str">
        <f t="shared" si="14"/>
        <v/>
      </c>
    </row>
    <row r="75" spans="1:18" ht="25.5" hidden="1" customHeight="1" x14ac:dyDescent="0.25">
      <c r="A75" s="272" t="s">
        <v>22</v>
      </c>
      <c r="B75" s="261" t="s">
        <v>298</v>
      </c>
      <c r="C75" s="272" t="s">
        <v>10</v>
      </c>
      <c r="D75" s="272" t="s">
        <v>299</v>
      </c>
      <c r="E75" s="363" t="s">
        <v>27</v>
      </c>
      <c r="F75" s="363"/>
      <c r="G75" s="260" t="s">
        <v>28</v>
      </c>
      <c r="H75" s="263">
        <v>2</v>
      </c>
      <c r="I75" s="262">
        <f>SUMIFS(J:J,A:A,"Composição",B:B,$B75)</f>
        <v>18.739999999999998</v>
      </c>
      <c r="J75" s="262">
        <f>TRUNC(H75*I75,2)</f>
        <v>37.479999999999997</v>
      </c>
      <c r="K75" s="172"/>
      <c r="L75" s="145">
        <f t="shared" si="8"/>
        <v>8</v>
      </c>
      <c r="M75" s="156">
        <f t="shared" si="9"/>
        <v>37.479999999999997</v>
      </c>
      <c r="N75" s="157" t="str">
        <f t="shared" si="10"/>
        <v/>
      </c>
      <c r="O75" s="157">
        <f t="shared" si="11"/>
        <v>37.479999999999997</v>
      </c>
      <c r="P75" s="158" t="str">
        <f t="shared" si="12"/>
        <v/>
      </c>
      <c r="Q75" s="157" t="str">
        <f t="shared" si="13"/>
        <v/>
      </c>
      <c r="R75" s="157" t="str">
        <f t="shared" si="14"/>
        <v/>
      </c>
    </row>
    <row r="76" spans="1:18" ht="25.5" hidden="1" customHeight="1" x14ac:dyDescent="0.25">
      <c r="A76" s="272" t="s">
        <v>22</v>
      </c>
      <c r="B76" s="261" t="s">
        <v>665</v>
      </c>
      <c r="C76" s="272" t="s">
        <v>10</v>
      </c>
      <c r="D76" s="272" t="s">
        <v>666</v>
      </c>
      <c r="E76" s="363" t="s">
        <v>44</v>
      </c>
      <c r="F76" s="363"/>
      <c r="G76" s="260" t="s">
        <v>45</v>
      </c>
      <c r="H76" s="263">
        <v>0.7</v>
      </c>
      <c r="I76" s="262">
        <f>SUMIFS(J:J,A:A,"Composição",B:B,$B76)</f>
        <v>176.54</v>
      </c>
      <c r="J76" s="262">
        <f>TRUNC(H76*I76,2)</f>
        <v>123.57</v>
      </c>
      <c r="K76" s="172"/>
      <c r="L76" s="145">
        <f t="shared" si="8"/>
        <v>8</v>
      </c>
      <c r="M76" s="156">
        <f t="shared" si="9"/>
        <v>123.57</v>
      </c>
      <c r="N76" s="157" t="str">
        <f t="shared" si="10"/>
        <v/>
      </c>
      <c r="O76" s="157">
        <f t="shared" si="11"/>
        <v>123.57</v>
      </c>
      <c r="P76" s="158" t="str">
        <f t="shared" si="12"/>
        <v/>
      </c>
      <c r="Q76" s="157" t="str">
        <f t="shared" si="13"/>
        <v/>
      </c>
      <c r="R76" s="157" t="str">
        <f t="shared" si="14"/>
        <v/>
      </c>
    </row>
    <row r="77" spans="1:18" ht="14.25" hidden="1" customHeight="1" x14ac:dyDescent="0.25">
      <c r="A77" s="272" t="s">
        <v>22</v>
      </c>
      <c r="B77" s="261" t="s">
        <v>667</v>
      </c>
      <c r="C77" s="272" t="s">
        <v>10</v>
      </c>
      <c r="D77" s="272" t="s">
        <v>668</v>
      </c>
      <c r="E77" s="363" t="s">
        <v>44</v>
      </c>
      <c r="F77" s="363"/>
      <c r="G77" s="260" t="s">
        <v>46</v>
      </c>
      <c r="H77" s="263">
        <v>0.3</v>
      </c>
      <c r="I77" s="262">
        <f>SUMIFS(J:J,A:A,"Composição",B:B,$B77)</f>
        <v>33.9</v>
      </c>
      <c r="J77" s="262">
        <f>TRUNC(H77*I77,2)</f>
        <v>10.17</v>
      </c>
      <c r="K77" s="172"/>
      <c r="L77" s="145">
        <f t="shared" si="8"/>
        <v>8</v>
      </c>
      <c r="M77" s="156">
        <f t="shared" si="9"/>
        <v>10.17</v>
      </c>
      <c r="N77" s="157" t="str">
        <f t="shared" si="10"/>
        <v/>
      </c>
      <c r="O77" s="157">
        <f t="shared" si="11"/>
        <v>10.17</v>
      </c>
      <c r="P77" s="158" t="str">
        <f t="shared" si="12"/>
        <v/>
      </c>
      <c r="Q77" s="157" t="str">
        <f t="shared" si="13"/>
        <v/>
      </c>
      <c r="R77" s="157" t="str">
        <f t="shared" si="14"/>
        <v/>
      </c>
    </row>
    <row r="78" spans="1:18" ht="25.5" hidden="1" customHeight="1" x14ac:dyDescent="0.25">
      <c r="A78" s="274"/>
      <c r="B78" s="274"/>
      <c r="C78" s="274"/>
      <c r="D78" s="274"/>
      <c r="E78" s="274"/>
      <c r="F78" s="268"/>
      <c r="G78" s="274"/>
      <c r="H78" s="268"/>
      <c r="I78" s="274"/>
      <c r="J78" s="268"/>
      <c r="K78" s="172"/>
      <c r="L78" s="145">
        <f t="shared" si="8"/>
        <v>8</v>
      </c>
      <c r="M78" s="156" t="str">
        <f t="shared" si="9"/>
        <v/>
      </c>
      <c r="N78" s="157" t="str">
        <f t="shared" si="10"/>
        <v/>
      </c>
      <c r="O78" s="157" t="str">
        <f t="shared" si="11"/>
        <v/>
      </c>
      <c r="P78" s="158" t="str">
        <f t="shared" si="12"/>
        <v/>
      </c>
      <c r="Q78" s="157" t="str">
        <f t="shared" si="13"/>
        <v/>
      </c>
      <c r="R78" s="157" t="str">
        <f t="shared" si="14"/>
        <v/>
      </c>
    </row>
    <row r="79" spans="1:18" ht="14.4" hidden="1" thickBot="1" x14ac:dyDescent="0.3">
      <c r="A79" s="274"/>
      <c r="B79" s="274"/>
      <c r="C79" s="274"/>
      <c r="D79" s="274"/>
      <c r="E79" s="274"/>
      <c r="F79" s="268"/>
      <c r="G79" s="274"/>
      <c r="H79" s="350"/>
      <c r="I79" s="350"/>
      <c r="J79" s="268"/>
      <c r="K79" s="172"/>
      <c r="L79" s="145">
        <f t="shared" si="8"/>
        <v>8</v>
      </c>
      <c r="M79" s="156" t="str">
        <f t="shared" si="9"/>
        <v/>
      </c>
      <c r="N79" s="157" t="str">
        <f t="shared" si="10"/>
        <v/>
      </c>
      <c r="O79" s="157" t="str">
        <f t="shared" si="11"/>
        <v/>
      </c>
      <c r="P79" s="158" t="str">
        <f t="shared" si="12"/>
        <v/>
      </c>
      <c r="Q79" s="157" t="str">
        <f t="shared" si="13"/>
        <v/>
      </c>
      <c r="R79" s="157" t="str">
        <f t="shared" si="14"/>
        <v/>
      </c>
    </row>
    <row r="80" spans="1:18" ht="14.4" hidden="1" thickTop="1" x14ac:dyDescent="0.25">
      <c r="A80" s="259"/>
      <c r="B80" s="259"/>
      <c r="C80" s="259"/>
      <c r="D80" s="259"/>
      <c r="E80" s="259"/>
      <c r="F80" s="259"/>
      <c r="G80" s="259"/>
      <c r="H80" s="259"/>
      <c r="I80" s="259"/>
      <c r="J80" s="259"/>
      <c r="K80" s="172"/>
      <c r="L80" s="145">
        <f t="shared" si="8"/>
        <v>9</v>
      </c>
      <c r="M80" s="156" t="str">
        <f t="shared" si="9"/>
        <v/>
      </c>
      <c r="N80" s="157" t="str">
        <f t="shared" si="10"/>
        <v/>
      </c>
      <c r="O80" s="157" t="str">
        <f t="shared" si="11"/>
        <v/>
      </c>
      <c r="P80" s="158" t="str">
        <f t="shared" si="12"/>
        <v/>
      </c>
      <c r="Q80" s="157" t="str">
        <f t="shared" si="13"/>
        <v/>
      </c>
      <c r="R80" s="157" t="str">
        <f t="shared" si="14"/>
        <v/>
      </c>
    </row>
    <row r="81" spans="1:18" hidden="1" x14ac:dyDescent="0.25">
      <c r="A81" s="270" t="s">
        <v>669</v>
      </c>
      <c r="B81" s="254" t="s">
        <v>1</v>
      </c>
      <c r="C81" s="270" t="s">
        <v>2</v>
      </c>
      <c r="D81" s="270" t="s">
        <v>3</v>
      </c>
      <c r="E81" s="347" t="s">
        <v>19</v>
      </c>
      <c r="F81" s="347"/>
      <c r="G81" s="253" t="s">
        <v>4</v>
      </c>
      <c r="H81" s="254" t="s">
        <v>5</v>
      </c>
      <c r="I81" s="254" t="s">
        <v>6</v>
      </c>
      <c r="J81" s="254" t="s">
        <v>7</v>
      </c>
      <c r="K81" s="172"/>
      <c r="L81" s="145">
        <f t="shared" ref="L81:L144" si="15">IF(AND(A82&lt;&gt;"",A81=""),L80+1,L80)</f>
        <v>9</v>
      </c>
      <c r="M81" s="156" t="str">
        <f t="shared" ref="M81:M144" si="16">IF(OR(A81="Insumo",A81="Composição Auxiliar"),J81,"")</f>
        <v/>
      </c>
      <c r="N81" s="157" t="str">
        <f t="shared" ref="N81:N144" si="17">IF(E81="Mão de Obra",J81,"")</f>
        <v/>
      </c>
      <c r="O81" s="157" t="str">
        <f t="shared" ref="O81:O144" si="18">IF(N81&lt;&gt;"","",M81)</f>
        <v/>
      </c>
      <c r="P81" s="158" t="str">
        <f t="shared" ref="P81:P144" si="19">IF(A81="Composição",B81,"")</f>
        <v/>
      </c>
      <c r="Q81" s="157" t="str">
        <f t="shared" ref="Q81:Q144" si="20">IF(P81&lt;&gt;"",SUMIF(L81:L181,L81,N81:N181),"")</f>
        <v/>
      </c>
      <c r="R81" s="157" t="str">
        <f t="shared" ref="R81:R144" si="21">IF(P81&lt;&gt;"",SUMIF(L81:L181,L81,O81:O181),"")</f>
        <v/>
      </c>
    </row>
    <row r="82" spans="1:18" ht="25.5" hidden="1" customHeight="1" x14ac:dyDescent="0.25">
      <c r="A82" s="271" t="s">
        <v>20</v>
      </c>
      <c r="B82" s="256" t="s">
        <v>670</v>
      </c>
      <c r="C82" s="271" t="s">
        <v>13</v>
      </c>
      <c r="D82" s="271" t="s">
        <v>671</v>
      </c>
      <c r="E82" s="362" t="s">
        <v>315</v>
      </c>
      <c r="F82" s="362"/>
      <c r="G82" s="255" t="s">
        <v>16</v>
      </c>
      <c r="H82" s="258">
        <v>1</v>
      </c>
      <c r="I82" s="257">
        <f>SUMIF(L:L,$L82,M:M)</f>
        <v>67.41</v>
      </c>
      <c r="J82" s="257">
        <f>TRUNC(H82*I82,2)</f>
        <v>67.41</v>
      </c>
      <c r="K82" s="172"/>
      <c r="L82" s="145">
        <f t="shared" si="15"/>
        <v>9</v>
      </c>
      <c r="M82" s="156" t="str">
        <f t="shared" si="16"/>
        <v/>
      </c>
      <c r="N82" s="157" t="str">
        <f t="shared" si="17"/>
        <v/>
      </c>
      <c r="O82" s="157" t="str">
        <f t="shared" si="18"/>
        <v/>
      </c>
      <c r="P82" s="158" t="str">
        <f t="shared" si="19"/>
        <v xml:space="preserve"> S-ELE-INFR-EL-F-P-50 </v>
      </c>
      <c r="Q82" s="157">
        <f t="shared" si="20"/>
        <v>0</v>
      </c>
      <c r="R82" s="157">
        <f t="shared" si="21"/>
        <v>67.41</v>
      </c>
    </row>
    <row r="83" spans="1:18" ht="26.4" hidden="1" x14ac:dyDescent="0.25">
      <c r="A83" s="272" t="s">
        <v>22</v>
      </c>
      <c r="B83" s="261" t="s">
        <v>313</v>
      </c>
      <c r="C83" s="272" t="s">
        <v>10</v>
      </c>
      <c r="D83" s="272" t="s">
        <v>314</v>
      </c>
      <c r="E83" s="363" t="s">
        <v>27</v>
      </c>
      <c r="F83" s="363"/>
      <c r="G83" s="260" t="s">
        <v>28</v>
      </c>
      <c r="H83" s="263">
        <v>0.22</v>
      </c>
      <c r="I83" s="262">
        <f>SUMIFS(J:J,A:A,"Composição",B:B,$B83)</f>
        <v>24.1</v>
      </c>
      <c r="J83" s="262">
        <f>TRUNC(H83*I83,2)</f>
        <v>5.3</v>
      </c>
      <c r="K83" s="172"/>
      <c r="L83" s="145">
        <f t="shared" si="15"/>
        <v>9</v>
      </c>
      <c r="M83" s="156">
        <f t="shared" si="16"/>
        <v>5.3</v>
      </c>
      <c r="N83" s="157" t="str">
        <f t="shared" si="17"/>
        <v/>
      </c>
      <c r="O83" s="157">
        <f t="shared" si="18"/>
        <v>5.3</v>
      </c>
      <c r="P83" s="158" t="str">
        <f t="shared" si="19"/>
        <v/>
      </c>
      <c r="Q83" s="157" t="str">
        <f t="shared" si="20"/>
        <v/>
      </c>
      <c r="R83" s="157" t="str">
        <f t="shared" si="21"/>
        <v/>
      </c>
    </row>
    <row r="84" spans="1:18" ht="15" hidden="1" customHeight="1" x14ac:dyDescent="0.25">
      <c r="A84" s="272" t="s">
        <v>22</v>
      </c>
      <c r="B84" s="261" t="s">
        <v>298</v>
      </c>
      <c r="C84" s="272" t="s">
        <v>10</v>
      </c>
      <c r="D84" s="272" t="s">
        <v>299</v>
      </c>
      <c r="E84" s="363" t="s">
        <v>27</v>
      </c>
      <c r="F84" s="363"/>
      <c r="G84" s="260" t="s">
        <v>28</v>
      </c>
      <c r="H84" s="263">
        <v>0.22</v>
      </c>
      <c r="I84" s="262">
        <f>SUMIFS(J:J,A:A,"Composição",B:B,$B84)</f>
        <v>18.739999999999998</v>
      </c>
      <c r="J84" s="262">
        <f>TRUNC(H84*I84,2)</f>
        <v>4.12</v>
      </c>
      <c r="K84" s="172"/>
      <c r="L84" s="145">
        <f t="shared" si="15"/>
        <v>9</v>
      </c>
      <c r="M84" s="156">
        <f t="shared" si="16"/>
        <v>4.12</v>
      </c>
      <c r="N84" s="157" t="str">
        <f t="shared" si="17"/>
        <v/>
      </c>
      <c r="O84" s="157">
        <f t="shared" si="18"/>
        <v>4.12</v>
      </c>
      <c r="P84" s="158" t="str">
        <f t="shared" si="19"/>
        <v/>
      </c>
      <c r="Q84" s="157" t="str">
        <f t="shared" si="20"/>
        <v/>
      </c>
      <c r="R84" s="157" t="str">
        <f t="shared" si="21"/>
        <v/>
      </c>
    </row>
    <row r="85" spans="1:18" ht="15" hidden="1" customHeight="1" x14ac:dyDescent="0.25">
      <c r="A85" s="273" t="s">
        <v>31</v>
      </c>
      <c r="B85" s="265" t="s">
        <v>386</v>
      </c>
      <c r="C85" s="273" t="str">
        <f>VLOOKUP(B85,INSUMOS!$A:$I,2,FALSE)</f>
        <v>CPOS</v>
      </c>
      <c r="D85" s="273" t="str">
        <f>VLOOKUP(B85,INSUMOS!$A:$I,3,FALSE)</f>
        <v>Eletroduto galvanizado por imersão a quente, DN = 2´ - NBR5598</v>
      </c>
      <c r="E85" s="361" t="str">
        <f>VLOOKUP(B85,INSUMOS!$A:$I,4,FALSE)</f>
        <v>Material</v>
      </c>
      <c r="F85" s="361"/>
      <c r="G85" s="264" t="str">
        <f>VLOOKUP(B85,INSUMOS!$A:$I,5,FALSE)</f>
        <v>M</v>
      </c>
      <c r="H85" s="267">
        <v>1.2</v>
      </c>
      <c r="I85" s="266">
        <f>VLOOKUP(B85,INSUMOS!$A:$I,8,FALSE)</f>
        <v>48.33</v>
      </c>
      <c r="J85" s="266">
        <f>TRUNC(H85*I85,2)</f>
        <v>57.99</v>
      </c>
      <c r="K85" s="172"/>
      <c r="L85" s="145">
        <f t="shared" si="15"/>
        <v>9</v>
      </c>
      <c r="M85" s="156">
        <f t="shared" si="16"/>
        <v>57.99</v>
      </c>
      <c r="N85" s="157" t="str">
        <f t="shared" si="17"/>
        <v/>
      </c>
      <c r="O85" s="157">
        <f t="shared" si="18"/>
        <v>57.99</v>
      </c>
      <c r="P85" s="158" t="str">
        <f t="shared" si="19"/>
        <v/>
      </c>
      <c r="Q85" s="157" t="str">
        <f t="shared" si="20"/>
        <v/>
      </c>
      <c r="R85" s="157" t="str">
        <f t="shared" si="21"/>
        <v/>
      </c>
    </row>
    <row r="86" spans="1:18" ht="39.6" hidden="1" customHeight="1" x14ac:dyDescent="0.25">
      <c r="A86" s="274"/>
      <c r="B86" s="274"/>
      <c r="C86" s="274"/>
      <c r="D86" s="274"/>
      <c r="E86" s="274"/>
      <c r="F86" s="268"/>
      <c r="G86" s="274"/>
      <c r="H86" s="268"/>
      <c r="I86" s="274"/>
      <c r="J86" s="268"/>
      <c r="K86" s="172"/>
      <c r="L86" s="145">
        <f t="shared" si="15"/>
        <v>9</v>
      </c>
      <c r="M86" s="156" t="str">
        <f t="shared" si="16"/>
        <v/>
      </c>
      <c r="N86" s="157" t="str">
        <f t="shared" si="17"/>
        <v/>
      </c>
      <c r="O86" s="157" t="str">
        <f t="shared" si="18"/>
        <v/>
      </c>
      <c r="P86" s="158" t="str">
        <f t="shared" si="19"/>
        <v/>
      </c>
      <c r="Q86" s="157" t="str">
        <f t="shared" si="20"/>
        <v/>
      </c>
      <c r="R86" s="157" t="str">
        <f t="shared" si="21"/>
        <v/>
      </c>
    </row>
    <row r="87" spans="1:18" ht="14.25" hidden="1" customHeight="1" thickBot="1" x14ac:dyDescent="0.3">
      <c r="A87" s="274"/>
      <c r="B87" s="274"/>
      <c r="C87" s="274"/>
      <c r="D87" s="274"/>
      <c r="E87" s="274"/>
      <c r="F87" s="268"/>
      <c r="G87" s="274"/>
      <c r="H87" s="350"/>
      <c r="I87" s="350"/>
      <c r="J87" s="268"/>
      <c r="K87" s="172"/>
      <c r="L87" s="145">
        <f t="shared" si="15"/>
        <v>9</v>
      </c>
      <c r="M87" s="156" t="str">
        <f t="shared" si="16"/>
        <v/>
      </c>
      <c r="N87" s="157" t="str">
        <f t="shared" si="17"/>
        <v/>
      </c>
      <c r="O87" s="157" t="str">
        <f t="shared" si="18"/>
        <v/>
      </c>
      <c r="P87" s="158" t="str">
        <f t="shared" si="19"/>
        <v/>
      </c>
      <c r="Q87" s="157" t="str">
        <f t="shared" si="20"/>
        <v/>
      </c>
      <c r="R87" s="157" t="str">
        <f t="shared" si="21"/>
        <v/>
      </c>
    </row>
    <row r="88" spans="1:18" ht="14.25" hidden="1" customHeight="1" thickTop="1" x14ac:dyDescent="0.25">
      <c r="A88" s="259"/>
      <c r="B88" s="259"/>
      <c r="C88" s="259"/>
      <c r="D88" s="259"/>
      <c r="E88" s="259"/>
      <c r="F88" s="259"/>
      <c r="G88" s="259"/>
      <c r="H88" s="259"/>
      <c r="I88" s="259"/>
      <c r="J88" s="259"/>
      <c r="K88" s="172"/>
      <c r="L88" s="145">
        <f t="shared" si="15"/>
        <v>10</v>
      </c>
      <c r="M88" s="156" t="str">
        <f t="shared" si="16"/>
        <v/>
      </c>
      <c r="N88" s="157" t="str">
        <f t="shared" si="17"/>
        <v/>
      </c>
      <c r="O88" s="157" t="str">
        <f t="shared" si="18"/>
        <v/>
      </c>
      <c r="P88" s="158" t="str">
        <f t="shared" si="19"/>
        <v/>
      </c>
      <c r="Q88" s="157" t="str">
        <f t="shared" si="20"/>
        <v/>
      </c>
      <c r="R88" s="157" t="str">
        <f t="shared" si="21"/>
        <v/>
      </c>
    </row>
    <row r="89" spans="1:18" hidden="1" x14ac:dyDescent="0.25">
      <c r="A89" s="270" t="s">
        <v>672</v>
      </c>
      <c r="B89" s="254" t="s">
        <v>1</v>
      </c>
      <c r="C89" s="270" t="s">
        <v>2</v>
      </c>
      <c r="D89" s="270" t="s">
        <v>3</v>
      </c>
      <c r="E89" s="347" t="s">
        <v>19</v>
      </c>
      <c r="F89" s="347"/>
      <c r="G89" s="253" t="s">
        <v>4</v>
      </c>
      <c r="H89" s="254" t="s">
        <v>5</v>
      </c>
      <c r="I89" s="254" t="s">
        <v>6</v>
      </c>
      <c r="J89" s="254" t="s">
        <v>7</v>
      </c>
      <c r="K89" s="172"/>
      <c r="L89" s="145">
        <f t="shared" si="15"/>
        <v>10</v>
      </c>
      <c r="M89" s="156" t="str">
        <f t="shared" si="16"/>
        <v/>
      </c>
      <c r="N89" s="157" t="str">
        <f t="shared" si="17"/>
        <v/>
      </c>
      <c r="O89" s="157" t="str">
        <f t="shared" si="18"/>
        <v/>
      </c>
      <c r="P89" s="158" t="str">
        <f t="shared" si="19"/>
        <v/>
      </c>
      <c r="Q89" s="157" t="str">
        <f t="shared" si="20"/>
        <v/>
      </c>
      <c r="R89" s="157" t="str">
        <f t="shared" si="21"/>
        <v/>
      </c>
    </row>
    <row r="90" spans="1:18" ht="39.6" hidden="1" x14ac:dyDescent="0.25">
      <c r="A90" s="271" t="s">
        <v>20</v>
      </c>
      <c r="B90" s="256" t="s">
        <v>673</v>
      </c>
      <c r="C90" s="271" t="s">
        <v>13</v>
      </c>
      <c r="D90" s="271" t="s">
        <v>674</v>
      </c>
      <c r="E90" s="362" t="s">
        <v>315</v>
      </c>
      <c r="F90" s="362"/>
      <c r="G90" s="255" t="s">
        <v>16</v>
      </c>
      <c r="H90" s="258">
        <v>1</v>
      </c>
      <c r="I90" s="257">
        <f>SUMIF(L:L,$L90,M:M)</f>
        <v>131.71</v>
      </c>
      <c r="J90" s="257">
        <f>TRUNC(H90*I90,2)</f>
        <v>131.71</v>
      </c>
      <c r="K90" s="172"/>
      <c r="L90" s="145">
        <f t="shared" si="15"/>
        <v>10</v>
      </c>
      <c r="M90" s="156" t="str">
        <f t="shared" si="16"/>
        <v/>
      </c>
      <c r="N90" s="157" t="str">
        <f t="shared" si="17"/>
        <v/>
      </c>
      <c r="O90" s="157" t="str">
        <f t="shared" si="18"/>
        <v/>
      </c>
      <c r="P90" s="158" t="str">
        <f t="shared" si="19"/>
        <v xml:space="preserve"> S-ELE-INFR-EP-100x100 </v>
      </c>
      <c r="Q90" s="157">
        <f t="shared" si="20"/>
        <v>0</v>
      </c>
      <c r="R90" s="157">
        <f t="shared" si="21"/>
        <v>131.71</v>
      </c>
    </row>
    <row r="91" spans="1:18" ht="26.4" hidden="1" x14ac:dyDescent="0.25">
      <c r="A91" s="272" t="s">
        <v>22</v>
      </c>
      <c r="B91" s="261" t="s">
        <v>313</v>
      </c>
      <c r="C91" s="272" t="s">
        <v>10</v>
      </c>
      <c r="D91" s="272" t="s">
        <v>314</v>
      </c>
      <c r="E91" s="363" t="s">
        <v>27</v>
      </c>
      <c r="F91" s="363"/>
      <c r="G91" s="260" t="s">
        <v>28</v>
      </c>
      <c r="H91" s="263">
        <v>0.75</v>
      </c>
      <c r="I91" s="262">
        <f>SUMIFS(J:J,A:A,"Composição",B:B,$B91)</f>
        <v>24.1</v>
      </c>
      <c r="J91" s="262">
        <f>TRUNC(H91*I91,2)</f>
        <v>18.07</v>
      </c>
      <c r="K91" s="172"/>
      <c r="L91" s="145">
        <f t="shared" si="15"/>
        <v>10</v>
      </c>
      <c r="M91" s="156">
        <f t="shared" si="16"/>
        <v>18.07</v>
      </c>
      <c r="N91" s="157" t="str">
        <f t="shared" si="17"/>
        <v/>
      </c>
      <c r="O91" s="157">
        <f t="shared" si="18"/>
        <v>18.07</v>
      </c>
      <c r="P91" s="158" t="str">
        <f t="shared" si="19"/>
        <v/>
      </c>
      <c r="Q91" s="157" t="str">
        <f t="shared" si="20"/>
        <v/>
      </c>
      <c r="R91" s="157" t="str">
        <f t="shared" si="21"/>
        <v/>
      </c>
    </row>
    <row r="92" spans="1:18" ht="15" hidden="1" customHeight="1" x14ac:dyDescent="0.25">
      <c r="A92" s="272" t="s">
        <v>22</v>
      </c>
      <c r="B92" s="261" t="s">
        <v>298</v>
      </c>
      <c r="C92" s="272" t="s">
        <v>10</v>
      </c>
      <c r="D92" s="272" t="s">
        <v>299</v>
      </c>
      <c r="E92" s="363" t="s">
        <v>27</v>
      </c>
      <c r="F92" s="363"/>
      <c r="G92" s="260" t="s">
        <v>28</v>
      </c>
      <c r="H92" s="263">
        <v>0.75</v>
      </c>
      <c r="I92" s="262">
        <f>SUMIFS(J:J,A:A,"Composição",B:B,$B92)</f>
        <v>18.739999999999998</v>
      </c>
      <c r="J92" s="262">
        <f>TRUNC(H92*I92,2)</f>
        <v>14.05</v>
      </c>
      <c r="K92" s="172"/>
      <c r="L92" s="145">
        <f t="shared" si="15"/>
        <v>10</v>
      </c>
      <c r="M92" s="156">
        <f t="shared" si="16"/>
        <v>14.05</v>
      </c>
      <c r="N92" s="157" t="str">
        <f t="shared" si="17"/>
        <v/>
      </c>
      <c r="O92" s="157">
        <f t="shared" si="18"/>
        <v>14.05</v>
      </c>
      <c r="P92" s="158" t="str">
        <f t="shared" si="19"/>
        <v/>
      </c>
      <c r="Q92" s="157" t="str">
        <f t="shared" si="20"/>
        <v/>
      </c>
      <c r="R92" s="157" t="str">
        <f t="shared" si="21"/>
        <v/>
      </c>
    </row>
    <row r="93" spans="1:18" ht="39.6" hidden="1" x14ac:dyDescent="0.25">
      <c r="A93" s="273" t="s">
        <v>31</v>
      </c>
      <c r="B93" s="265" t="s">
        <v>404</v>
      </c>
      <c r="C93" s="273" t="str">
        <f>VLOOKUP(B93,INSUMOS!$A:$I,2,FALSE)</f>
        <v>CPOS</v>
      </c>
      <c r="D93" s="273" t="str">
        <f>VLOOKUP(B93,INSUMOS!$A:$I,3,FALSE)</f>
        <v>Eletrocalha lisa galvanizada a fogo, 100x100mm</v>
      </c>
      <c r="E93" s="361" t="str">
        <f>VLOOKUP(B93,INSUMOS!$A:$I,4,FALSE)</f>
        <v>Material</v>
      </c>
      <c r="F93" s="361"/>
      <c r="G93" s="264" t="str">
        <f>VLOOKUP(B93,INSUMOS!$A:$I,5,FALSE)</f>
        <v>M</v>
      </c>
      <c r="H93" s="267">
        <v>1.3</v>
      </c>
      <c r="I93" s="266">
        <f>VLOOKUP(B93,INSUMOS!$A:$I,8,FALSE)</f>
        <v>76.61</v>
      </c>
      <c r="J93" s="266">
        <f>TRUNC(H93*I93,2)</f>
        <v>99.59</v>
      </c>
      <c r="K93" s="172"/>
      <c r="L93" s="145">
        <f t="shared" si="15"/>
        <v>10</v>
      </c>
      <c r="M93" s="156">
        <f t="shared" si="16"/>
        <v>99.59</v>
      </c>
      <c r="N93" s="157" t="str">
        <f t="shared" si="17"/>
        <v/>
      </c>
      <c r="O93" s="157">
        <f t="shared" si="18"/>
        <v>99.59</v>
      </c>
      <c r="P93" s="158" t="str">
        <f t="shared" si="19"/>
        <v/>
      </c>
      <c r="Q93" s="157" t="str">
        <f t="shared" si="20"/>
        <v/>
      </c>
      <c r="R93" s="157" t="str">
        <f t="shared" si="21"/>
        <v/>
      </c>
    </row>
    <row r="94" spans="1:18" ht="25.5" hidden="1" customHeight="1" x14ac:dyDescent="0.25">
      <c r="A94" s="274"/>
      <c r="B94" s="274"/>
      <c r="C94" s="274"/>
      <c r="D94" s="274"/>
      <c r="E94" s="274"/>
      <c r="F94" s="268"/>
      <c r="G94" s="274"/>
      <c r="H94" s="268"/>
      <c r="I94" s="274"/>
      <c r="J94" s="268"/>
      <c r="K94" s="172"/>
      <c r="L94" s="145">
        <f t="shared" si="15"/>
        <v>10</v>
      </c>
      <c r="M94" s="156" t="str">
        <f t="shared" si="16"/>
        <v/>
      </c>
      <c r="N94" s="157" t="str">
        <f t="shared" si="17"/>
        <v/>
      </c>
      <c r="O94" s="157" t="str">
        <f t="shared" si="18"/>
        <v/>
      </c>
      <c r="P94" s="158" t="str">
        <f t="shared" si="19"/>
        <v/>
      </c>
      <c r="Q94" s="157" t="str">
        <f t="shared" si="20"/>
        <v/>
      </c>
      <c r="R94" s="157" t="str">
        <f t="shared" si="21"/>
        <v/>
      </c>
    </row>
    <row r="95" spans="1:18" ht="38.25" hidden="1" customHeight="1" thickBot="1" x14ac:dyDescent="0.3">
      <c r="A95" s="274"/>
      <c r="B95" s="274"/>
      <c r="C95" s="274"/>
      <c r="D95" s="274"/>
      <c r="E95" s="274"/>
      <c r="F95" s="268"/>
      <c r="G95" s="274"/>
      <c r="H95" s="350"/>
      <c r="I95" s="350"/>
      <c r="J95" s="268"/>
      <c r="K95" s="172"/>
      <c r="L95" s="145">
        <f t="shared" si="15"/>
        <v>10</v>
      </c>
      <c r="M95" s="156" t="str">
        <f t="shared" si="16"/>
        <v/>
      </c>
      <c r="N95" s="157" t="str">
        <f t="shared" si="17"/>
        <v/>
      </c>
      <c r="O95" s="157" t="str">
        <f t="shared" si="18"/>
        <v/>
      </c>
      <c r="P95" s="158" t="str">
        <f t="shared" si="19"/>
        <v/>
      </c>
      <c r="Q95" s="157" t="str">
        <f t="shared" si="20"/>
        <v/>
      </c>
      <c r="R95" s="157" t="str">
        <f t="shared" si="21"/>
        <v/>
      </c>
    </row>
    <row r="96" spans="1:18" ht="38.25" hidden="1" customHeight="1" thickTop="1" x14ac:dyDescent="0.2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172"/>
      <c r="L96" s="145">
        <f t="shared" si="15"/>
        <v>11</v>
      </c>
      <c r="M96" s="156" t="str">
        <f t="shared" si="16"/>
        <v/>
      </c>
      <c r="N96" s="157" t="str">
        <f t="shared" si="17"/>
        <v/>
      </c>
      <c r="O96" s="157" t="str">
        <f t="shared" si="18"/>
        <v/>
      </c>
      <c r="P96" s="158" t="str">
        <f t="shared" si="19"/>
        <v/>
      </c>
      <c r="Q96" s="157" t="str">
        <f t="shared" si="20"/>
        <v/>
      </c>
      <c r="R96" s="157" t="str">
        <f t="shared" si="21"/>
        <v/>
      </c>
    </row>
    <row r="97" spans="1:18" ht="14.25" hidden="1" customHeight="1" x14ac:dyDescent="0.25">
      <c r="A97" s="270" t="s">
        <v>675</v>
      </c>
      <c r="B97" s="254" t="s">
        <v>1</v>
      </c>
      <c r="C97" s="270" t="s">
        <v>2</v>
      </c>
      <c r="D97" s="270" t="s">
        <v>3</v>
      </c>
      <c r="E97" s="347" t="s">
        <v>19</v>
      </c>
      <c r="F97" s="347"/>
      <c r="G97" s="253" t="s">
        <v>4</v>
      </c>
      <c r="H97" s="254" t="s">
        <v>5</v>
      </c>
      <c r="I97" s="254" t="s">
        <v>6</v>
      </c>
      <c r="J97" s="254" t="s">
        <v>7</v>
      </c>
      <c r="K97" s="172"/>
      <c r="L97" s="145">
        <f t="shared" si="15"/>
        <v>11</v>
      </c>
      <c r="M97" s="156" t="str">
        <f t="shared" si="16"/>
        <v/>
      </c>
      <c r="N97" s="157" t="str">
        <f t="shared" si="17"/>
        <v/>
      </c>
      <c r="O97" s="157" t="str">
        <f t="shared" si="18"/>
        <v/>
      </c>
      <c r="P97" s="158" t="str">
        <f t="shared" si="19"/>
        <v/>
      </c>
      <c r="Q97" s="157" t="str">
        <f t="shared" si="20"/>
        <v/>
      </c>
      <c r="R97" s="157" t="str">
        <f t="shared" si="21"/>
        <v/>
      </c>
    </row>
    <row r="98" spans="1:18" ht="15" hidden="1" customHeight="1" x14ac:dyDescent="0.25">
      <c r="A98" s="271" t="s">
        <v>20</v>
      </c>
      <c r="B98" s="256" t="s">
        <v>676</v>
      </c>
      <c r="C98" s="271" t="s">
        <v>13</v>
      </c>
      <c r="D98" s="271" t="s">
        <v>677</v>
      </c>
      <c r="E98" s="362" t="s">
        <v>315</v>
      </c>
      <c r="F98" s="362"/>
      <c r="G98" s="255" t="s">
        <v>375</v>
      </c>
      <c r="H98" s="258">
        <v>1</v>
      </c>
      <c r="I98" s="257">
        <f>SUMIF(L:L,$L98,M:M)</f>
        <v>91.47</v>
      </c>
      <c r="J98" s="257">
        <f>TRUNC(H98*I98,2)</f>
        <v>91.47</v>
      </c>
      <c r="K98" s="172"/>
      <c r="L98" s="145">
        <f t="shared" si="15"/>
        <v>11</v>
      </c>
      <c r="M98" s="156" t="str">
        <f t="shared" si="16"/>
        <v/>
      </c>
      <c r="N98" s="157" t="str">
        <f t="shared" si="17"/>
        <v/>
      </c>
      <c r="O98" s="157" t="str">
        <f t="shared" si="18"/>
        <v/>
      </c>
      <c r="P98" s="158" t="str">
        <f t="shared" si="19"/>
        <v xml:space="preserve"> S-ELE-SFCR-PGR-16 </v>
      </c>
      <c r="Q98" s="157">
        <f t="shared" si="20"/>
        <v>0</v>
      </c>
      <c r="R98" s="157">
        <f t="shared" si="21"/>
        <v>91.47</v>
      </c>
    </row>
    <row r="99" spans="1:18" ht="26.4" hidden="1" x14ac:dyDescent="0.25">
      <c r="A99" s="272" t="s">
        <v>22</v>
      </c>
      <c r="B99" s="261" t="s">
        <v>313</v>
      </c>
      <c r="C99" s="272" t="s">
        <v>10</v>
      </c>
      <c r="D99" s="272" t="s">
        <v>314</v>
      </c>
      <c r="E99" s="363" t="s">
        <v>27</v>
      </c>
      <c r="F99" s="363"/>
      <c r="G99" s="260" t="s">
        <v>28</v>
      </c>
      <c r="H99" s="263">
        <v>0.34599999999999997</v>
      </c>
      <c r="I99" s="262">
        <f>SUMIFS(J:J,A:A,"Composição",B:B,$B99)</f>
        <v>24.1</v>
      </c>
      <c r="J99" s="262">
        <f>TRUNC(H99*I99,2)</f>
        <v>8.33</v>
      </c>
      <c r="K99" s="172"/>
      <c r="L99" s="145">
        <f t="shared" si="15"/>
        <v>11</v>
      </c>
      <c r="M99" s="156">
        <f t="shared" si="16"/>
        <v>8.33</v>
      </c>
      <c r="N99" s="157" t="str">
        <f t="shared" si="17"/>
        <v/>
      </c>
      <c r="O99" s="157">
        <f t="shared" si="18"/>
        <v>8.33</v>
      </c>
      <c r="P99" s="158" t="str">
        <f t="shared" si="19"/>
        <v/>
      </c>
      <c r="Q99" s="157" t="str">
        <f t="shared" si="20"/>
        <v/>
      </c>
      <c r="R99" s="157" t="str">
        <f t="shared" si="21"/>
        <v/>
      </c>
    </row>
    <row r="100" spans="1:18" ht="15" hidden="1" customHeight="1" x14ac:dyDescent="0.25">
      <c r="A100" s="272" t="s">
        <v>22</v>
      </c>
      <c r="B100" s="261" t="s">
        <v>298</v>
      </c>
      <c r="C100" s="272" t="s">
        <v>10</v>
      </c>
      <c r="D100" s="272" t="s">
        <v>299</v>
      </c>
      <c r="E100" s="363" t="s">
        <v>27</v>
      </c>
      <c r="F100" s="363"/>
      <c r="G100" s="260" t="s">
        <v>28</v>
      </c>
      <c r="H100" s="263">
        <v>0.34599999999999997</v>
      </c>
      <c r="I100" s="262">
        <f>SUMIFS(J:J,A:A,"Composição",B:B,$B100)</f>
        <v>18.739999999999998</v>
      </c>
      <c r="J100" s="262">
        <f>TRUNC(H100*I100,2)</f>
        <v>6.48</v>
      </c>
      <c r="K100" s="172"/>
      <c r="L100" s="145">
        <f t="shared" si="15"/>
        <v>11</v>
      </c>
      <c r="M100" s="156">
        <f t="shared" si="16"/>
        <v>6.48</v>
      </c>
      <c r="N100" s="157" t="str">
        <f t="shared" si="17"/>
        <v/>
      </c>
      <c r="O100" s="157">
        <f t="shared" si="18"/>
        <v>6.48</v>
      </c>
      <c r="P100" s="158" t="str">
        <f t="shared" si="19"/>
        <v/>
      </c>
      <c r="Q100" s="157" t="str">
        <f t="shared" si="20"/>
        <v/>
      </c>
      <c r="R100" s="157" t="str">
        <f t="shared" si="21"/>
        <v/>
      </c>
    </row>
    <row r="101" spans="1:18" ht="14.25" hidden="1" customHeight="1" x14ac:dyDescent="0.25">
      <c r="A101" s="273" t="s">
        <v>31</v>
      </c>
      <c r="B101" s="265" t="s">
        <v>428</v>
      </c>
      <c r="C101" s="273" t="str">
        <f>VLOOKUP(B101,INSUMOS!$A:$I,2,FALSE)</f>
        <v>SINAPI</v>
      </c>
      <c r="D101" s="273" t="str">
        <f>VLOOKUP(B101,INSUMOS!$A:$I,3,FALSE)</f>
        <v>CAIXA DE PASSAGEM METALICA DE SOBREPOR COM TAMPA PARAFUSADA, DIMENSOES 30 X 30 X 10 CM</v>
      </c>
      <c r="E101" s="361" t="str">
        <f>VLOOKUP(B101,INSUMOS!$A:$I,4,FALSE)</f>
        <v>Material</v>
      </c>
      <c r="F101" s="361"/>
      <c r="G101" s="264" t="str">
        <f>VLOOKUP(B101,INSUMOS!$A:$I,5,FALSE)</f>
        <v>UN</v>
      </c>
      <c r="H101" s="267">
        <v>1</v>
      </c>
      <c r="I101" s="266">
        <f>VLOOKUP(B101,INSUMOS!$A:$I,8,FALSE)</f>
        <v>76.66</v>
      </c>
      <c r="J101" s="266">
        <f>TRUNC(H101*I101,2)</f>
        <v>76.66</v>
      </c>
      <c r="K101" s="172"/>
      <c r="L101" s="145">
        <f t="shared" si="15"/>
        <v>11</v>
      </c>
      <c r="M101" s="156">
        <f t="shared" si="16"/>
        <v>76.66</v>
      </c>
      <c r="N101" s="157" t="str">
        <f t="shared" si="17"/>
        <v/>
      </c>
      <c r="O101" s="157">
        <f t="shared" si="18"/>
        <v>76.66</v>
      </c>
      <c r="P101" s="158" t="str">
        <f t="shared" si="19"/>
        <v/>
      </c>
      <c r="Q101" s="157" t="str">
        <f t="shared" si="20"/>
        <v/>
      </c>
      <c r="R101" s="157" t="str">
        <f t="shared" si="21"/>
        <v/>
      </c>
    </row>
    <row r="102" spans="1:18" hidden="1" x14ac:dyDescent="0.25">
      <c r="A102" s="274"/>
      <c r="B102" s="274"/>
      <c r="C102" s="274"/>
      <c r="D102" s="274"/>
      <c r="E102" s="274"/>
      <c r="F102" s="268"/>
      <c r="G102" s="274"/>
      <c r="H102" s="268"/>
      <c r="I102" s="274"/>
      <c r="J102" s="268"/>
      <c r="K102" s="172"/>
      <c r="L102" s="145">
        <f t="shared" si="15"/>
        <v>11</v>
      </c>
      <c r="M102" s="156" t="str">
        <f t="shared" si="16"/>
        <v/>
      </c>
      <c r="N102" s="157" t="str">
        <f t="shared" si="17"/>
        <v/>
      </c>
      <c r="O102" s="157" t="str">
        <f t="shared" si="18"/>
        <v/>
      </c>
      <c r="P102" s="158" t="str">
        <f t="shared" si="19"/>
        <v/>
      </c>
      <c r="Q102" s="157" t="str">
        <f t="shared" si="20"/>
        <v/>
      </c>
      <c r="R102" s="157" t="str">
        <f t="shared" si="21"/>
        <v/>
      </c>
    </row>
    <row r="103" spans="1:18" ht="14.25" hidden="1" customHeight="1" thickBot="1" x14ac:dyDescent="0.3">
      <c r="A103" s="274"/>
      <c r="B103" s="274"/>
      <c r="C103" s="274"/>
      <c r="D103" s="274"/>
      <c r="E103" s="274"/>
      <c r="F103" s="268"/>
      <c r="G103" s="274"/>
      <c r="H103" s="350"/>
      <c r="I103" s="350"/>
      <c r="J103" s="268"/>
      <c r="K103" s="172"/>
      <c r="L103" s="145">
        <f t="shared" si="15"/>
        <v>11</v>
      </c>
      <c r="M103" s="156" t="str">
        <f t="shared" si="16"/>
        <v/>
      </c>
      <c r="N103" s="157" t="str">
        <f t="shared" si="17"/>
        <v/>
      </c>
      <c r="O103" s="157" t="str">
        <f t="shared" si="18"/>
        <v/>
      </c>
      <c r="P103" s="158" t="str">
        <f t="shared" si="19"/>
        <v/>
      </c>
      <c r="Q103" s="157" t="str">
        <f t="shared" si="20"/>
        <v/>
      </c>
      <c r="R103" s="157" t="str">
        <f t="shared" si="21"/>
        <v/>
      </c>
    </row>
    <row r="104" spans="1:18" ht="14.4" hidden="1" thickTop="1" x14ac:dyDescent="0.2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172"/>
      <c r="L104" s="145">
        <f t="shared" si="15"/>
        <v>12</v>
      </c>
      <c r="M104" s="156" t="str">
        <f t="shared" si="16"/>
        <v/>
      </c>
      <c r="N104" s="157" t="str">
        <f t="shared" si="17"/>
        <v/>
      </c>
      <c r="O104" s="157" t="str">
        <f t="shared" si="18"/>
        <v/>
      </c>
      <c r="P104" s="158" t="str">
        <f t="shared" si="19"/>
        <v/>
      </c>
      <c r="Q104" s="157" t="str">
        <f t="shared" si="20"/>
        <v/>
      </c>
      <c r="R104" s="157" t="str">
        <f t="shared" si="21"/>
        <v/>
      </c>
    </row>
    <row r="105" spans="1:18" ht="14.25" hidden="1" customHeight="1" x14ac:dyDescent="0.25">
      <c r="A105" s="270" t="s">
        <v>678</v>
      </c>
      <c r="B105" s="254" t="s">
        <v>1</v>
      </c>
      <c r="C105" s="270" t="s">
        <v>2</v>
      </c>
      <c r="D105" s="270" t="s">
        <v>3</v>
      </c>
      <c r="E105" s="347" t="s">
        <v>19</v>
      </c>
      <c r="F105" s="347"/>
      <c r="G105" s="253" t="s">
        <v>4</v>
      </c>
      <c r="H105" s="254" t="s">
        <v>5</v>
      </c>
      <c r="I105" s="254" t="s">
        <v>6</v>
      </c>
      <c r="J105" s="254" t="s">
        <v>7</v>
      </c>
      <c r="K105" s="172"/>
      <c r="L105" s="145">
        <f t="shared" si="15"/>
        <v>12</v>
      </c>
      <c r="M105" s="156" t="str">
        <f t="shared" si="16"/>
        <v/>
      </c>
      <c r="N105" s="157" t="str">
        <f t="shared" si="17"/>
        <v/>
      </c>
      <c r="O105" s="157" t="str">
        <f t="shared" si="18"/>
        <v/>
      </c>
      <c r="P105" s="158" t="str">
        <f t="shared" si="19"/>
        <v/>
      </c>
      <c r="Q105" s="157" t="str">
        <f t="shared" si="20"/>
        <v/>
      </c>
      <c r="R105" s="157" t="str">
        <f t="shared" si="21"/>
        <v/>
      </c>
    </row>
    <row r="106" spans="1:18" ht="15" hidden="1" customHeight="1" x14ac:dyDescent="0.25">
      <c r="A106" s="271" t="s">
        <v>20</v>
      </c>
      <c r="B106" s="256" t="s">
        <v>679</v>
      </c>
      <c r="C106" s="271" t="s">
        <v>13</v>
      </c>
      <c r="D106" s="271" t="s">
        <v>680</v>
      </c>
      <c r="E106" s="362" t="s">
        <v>316</v>
      </c>
      <c r="F106" s="362"/>
      <c r="G106" s="255" t="s">
        <v>14</v>
      </c>
      <c r="H106" s="258">
        <v>1</v>
      </c>
      <c r="I106" s="257">
        <f>SUMIF(L:L,$L106,M:M)</f>
        <v>51.92</v>
      </c>
      <c r="J106" s="257">
        <f t="shared" ref="J106:J115" si="22">TRUNC(H106*I106,2)</f>
        <v>51.92</v>
      </c>
      <c r="K106" s="172"/>
      <c r="L106" s="145">
        <f t="shared" si="15"/>
        <v>12</v>
      </c>
      <c r="M106" s="156" t="str">
        <f t="shared" si="16"/>
        <v/>
      </c>
      <c r="N106" s="157" t="str">
        <f t="shared" si="17"/>
        <v/>
      </c>
      <c r="O106" s="157" t="str">
        <f t="shared" si="18"/>
        <v/>
      </c>
      <c r="P106" s="158" t="str">
        <f t="shared" si="19"/>
        <v xml:space="preserve"> S-HID-DIVE-SUP-HOR-03 </v>
      </c>
      <c r="Q106" s="157">
        <f t="shared" si="20"/>
        <v>0</v>
      </c>
      <c r="R106" s="157">
        <f t="shared" si="21"/>
        <v>51.92</v>
      </c>
    </row>
    <row r="107" spans="1:18" ht="25.5" hidden="1" customHeight="1" x14ac:dyDescent="0.25">
      <c r="A107" s="272" t="s">
        <v>22</v>
      </c>
      <c r="B107" s="261" t="s">
        <v>51</v>
      </c>
      <c r="C107" s="272" t="s">
        <v>10</v>
      </c>
      <c r="D107" s="272" t="s">
        <v>52</v>
      </c>
      <c r="E107" s="363" t="s">
        <v>27</v>
      </c>
      <c r="F107" s="363"/>
      <c r="G107" s="260" t="s">
        <v>28</v>
      </c>
      <c r="H107" s="263">
        <v>0.45</v>
      </c>
      <c r="I107" s="262">
        <f>SUMIFS(J:J,A:A,"Composição",B:B,$B107)</f>
        <v>23.9</v>
      </c>
      <c r="J107" s="262">
        <f t="shared" si="22"/>
        <v>10.75</v>
      </c>
      <c r="K107" s="172"/>
      <c r="L107" s="145">
        <f t="shared" si="15"/>
        <v>12</v>
      </c>
      <c r="M107" s="156">
        <f t="shared" si="16"/>
        <v>10.75</v>
      </c>
      <c r="N107" s="157" t="str">
        <f t="shared" si="17"/>
        <v/>
      </c>
      <c r="O107" s="157">
        <f t="shared" si="18"/>
        <v>10.75</v>
      </c>
      <c r="P107" s="158" t="str">
        <f t="shared" si="19"/>
        <v/>
      </c>
      <c r="Q107" s="157" t="str">
        <f t="shared" si="20"/>
        <v/>
      </c>
      <c r="R107" s="157" t="str">
        <f t="shared" si="21"/>
        <v/>
      </c>
    </row>
    <row r="108" spans="1:18" ht="14.25" hidden="1" customHeight="1" x14ac:dyDescent="0.25">
      <c r="A108" s="272" t="s">
        <v>22</v>
      </c>
      <c r="B108" s="261" t="s">
        <v>29</v>
      </c>
      <c r="C108" s="272" t="s">
        <v>10</v>
      </c>
      <c r="D108" s="272" t="s">
        <v>30</v>
      </c>
      <c r="E108" s="363" t="s">
        <v>27</v>
      </c>
      <c r="F108" s="363"/>
      <c r="G108" s="260" t="s">
        <v>28</v>
      </c>
      <c r="H108" s="263">
        <v>0.45</v>
      </c>
      <c r="I108" s="262">
        <f>SUMIFS(J:J,A:A,"Composição",B:B,$B108)</f>
        <v>17.61</v>
      </c>
      <c r="J108" s="262">
        <f t="shared" si="22"/>
        <v>7.92</v>
      </c>
      <c r="K108" s="172"/>
      <c r="L108" s="145">
        <f t="shared" si="15"/>
        <v>12</v>
      </c>
      <c r="M108" s="156">
        <f t="shared" si="16"/>
        <v>7.92</v>
      </c>
      <c r="N108" s="157" t="str">
        <f t="shared" si="17"/>
        <v/>
      </c>
      <c r="O108" s="157">
        <f t="shared" si="18"/>
        <v>7.92</v>
      </c>
      <c r="P108" s="158" t="str">
        <f t="shared" si="19"/>
        <v/>
      </c>
      <c r="Q108" s="157" t="str">
        <f t="shared" si="20"/>
        <v/>
      </c>
      <c r="R108" s="157" t="str">
        <f t="shared" si="21"/>
        <v/>
      </c>
    </row>
    <row r="109" spans="1:18" ht="14.25" hidden="1" customHeight="1" x14ac:dyDescent="0.25">
      <c r="A109" s="273" t="s">
        <v>31</v>
      </c>
      <c r="B109" s="265" t="s">
        <v>48</v>
      </c>
      <c r="C109" s="273" t="str">
        <f>VLOOKUP(B109,INSUMOS!$A:$I,2,FALSE)</f>
        <v>SINAPI</v>
      </c>
      <c r="D109" s="273" t="str">
        <f>VLOOKUP(B109,INSUMOS!$A:$I,3,FALSE)</f>
        <v>PARAFUSO DE ACO TIPO CHUMBADOR PARABOLT, DIAMETRO 3/8", COMPRIMENTO 75 MM</v>
      </c>
      <c r="E109" s="361" t="str">
        <f>VLOOKUP(B109,INSUMOS!$A:$I,4,FALSE)</f>
        <v>Material</v>
      </c>
      <c r="F109" s="361"/>
      <c r="G109" s="264" t="str">
        <f>VLOOKUP(B109,INSUMOS!$A:$I,5,FALSE)</f>
        <v>UN</v>
      </c>
      <c r="H109" s="267">
        <v>2</v>
      </c>
      <c r="I109" s="266">
        <f>VLOOKUP(B109,INSUMOS!$A:$I,8,FALSE)</f>
        <v>1.43</v>
      </c>
      <c r="J109" s="266">
        <f t="shared" si="22"/>
        <v>2.86</v>
      </c>
      <c r="K109" s="172"/>
      <c r="L109" s="145">
        <f t="shared" si="15"/>
        <v>12</v>
      </c>
      <c r="M109" s="156">
        <f t="shared" si="16"/>
        <v>2.86</v>
      </c>
      <c r="N109" s="157" t="str">
        <f t="shared" si="17"/>
        <v/>
      </c>
      <c r="O109" s="157">
        <f t="shared" si="18"/>
        <v>2.86</v>
      </c>
      <c r="P109" s="158" t="str">
        <f t="shared" si="19"/>
        <v/>
      </c>
      <c r="Q109" s="157" t="str">
        <f t="shared" si="20"/>
        <v/>
      </c>
      <c r="R109" s="157" t="str">
        <f t="shared" si="21"/>
        <v/>
      </c>
    </row>
    <row r="110" spans="1:18" ht="14.25" hidden="1" customHeight="1" x14ac:dyDescent="0.25">
      <c r="A110" s="273" t="s">
        <v>31</v>
      </c>
      <c r="B110" s="265" t="s">
        <v>280</v>
      </c>
      <c r="C110" s="273" t="str">
        <f>VLOOKUP(B110,INSUMOS!$A:$I,2,FALSE)</f>
        <v>ORSE</v>
      </c>
      <c r="D110" s="273" t="str">
        <f>VLOOKUP(B110,INSUMOS!$A:$I,3,FALSE)</f>
        <v>Barra roscada zincada ø 3/8"</v>
      </c>
      <c r="E110" s="361" t="str">
        <f>VLOOKUP(B110,INSUMOS!$A:$I,4,FALSE)</f>
        <v>Material</v>
      </c>
      <c r="F110" s="361"/>
      <c r="G110" s="264" t="str">
        <f>VLOOKUP(B110,INSUMOS!$A:$I,5,FALSE)</f>
        <v>m</v>
      </c>
      <c r="H110" s="267">
        <v>1.8</v>
      </c>
      <c r="I110" s="266">
        <f>VLOOKUP(B110,INSUMOS!$A:$I,8,FALSE)</f>
        <v>7.7</v>
      </c>
      <c r="J110" s="266">
        <f t="shared" si="22"/>
        <v>13.86</v>
      </c>
      <c r="K110" s="172"/>
      <c r="L110" s="145">
        <f t="shared" si="15"/>
        <v>12</v>
      </c>
      <c r="M110" s="156">
        <f t="shared" si="16"/>
        <v>13.86</v>
      </c>
      <c r="N110" s="157" t="str">
        <f t="shared" si="17"/>
        <v/>
      </c>
      <c r="O110" s="157">
        <f t="shared" si="18"/>
        <v>13.86</v>
      </c>
      <c r="P110" s="158" t="str">
        <f t="shared" si="19"/>
        <v/>
      </c>
      <c r="Q110" s="157" t="str">
        <f t="shared" si="20"/>
        <v/>
      </c>
      <c r="R110" s="157" t="str">
        <f t="shared" si="21"/>
        <v/>
      </c>
    </row>
    <row r="111" spans="1:18" ht="15" hidden="1" customHeight="1" x14ac:dyDescent="0.25">
      <c r="A111" s="273" t="s">
        <v>31</v>
      </c>
      <c r="B111" s="265" t="s">
        <v>293</v>
      </c>
      <c r="C111" s="273" t="str">
        <f>VLOOKUP(B111,INSUMOS!$A:$I,2,FALSE)</f>
        <v>ORSE</v>
      </c>
      <c r="D111" s="273" t="str">
        <f>VLOOKUP(B111,INSUMOS!$A:$I,3,FALSE)</f>
        <v>Arruela lisa de 3/8"</v>
      </c>
      <c r="E111" s="361" t="str">
        <f>VLOOKUP(B111,INSUMOS!$A:$I,4,FALSE)</f>
        <v>Material</v>
      </c>
      <c r="F111" s="361"/>
      <c r="G111" s="264" t="str">
        <f>VLOOKUP(B111,INSUMOS!$A:$I,5,FALSE)</f>
        <v>un</v>
      </c>
      <c r="H111" s="267">
        <v>6</v>
      </c>
      <c r="I111" s="266">
        <f>VLOOKUP(B111,INSUMOS!$A:$I,8,FALSE)</f>
        <v>0.12</v>
      </c>
      <c r="J111" s="266">
        <f t="shared" si="22"/>
        <v>0.72</v>
      </c>
      <c r="K111" s="172"/>
      <c r="L111" s="145">
        <f t="shared" si="15"/>
        <v>12</v>
      </c>
      <c r="M111" s="156">
        <f t="shared" si="16"/>
        <v>0.72</v>
      </c>
      <c r="N111" s="157" t="str">
        <f t="shared" si="17"/>
        <v/>
      </c>
      <c r="O111" s="157">
        <f t="shared" si="18"/>
        <v>0.72</v>
      </c>
      <c r="P111" s="158" t="str">
        <f t="shared" si="19"/>
        <v/>
      </c>
      <c r="Q111" s="157" t="str">
        <f t="shared" si="20"/>
        <v/>
      </c>
      <c r="R111" s="157" t="str">
        <f t="shared" si="21"/>
        <v/>
      </c>
    </row>
    <row r="112" spans="1:18" ht="15" hidden="1" customHeight="1" x14ac:dyDescent="0.25">
      <c r="A112" s="273" t="s">
        <v>31</v>
      </c>
      <c r="B112" s="265" t="s">
        <v>513</v>
      </c>
      <c r="C112" s="273" t="str">
        <f>VLOOKUP(B112,INSUMOS!$A:$I,2,FALSE)</f>
        <v>SINAPI</v>
      </c>
      <c r="D112" s="273" t="str">
        <f>VLOOKUP(B112,INSUMOS!$A:$I,3,FALSE)</f>
        <v>PERFILADO PERFURADO SIMPLES 38 X 38 MM, CHAPA 22</v>
      </c>
      <c r="E112" s="361" t="str">
        <f>VLOOKUP(B112,INSUMOS!$A:$I,4,FALSE)</f>
        <v>Material</v>
      </c>
      <c r="F112" s="361"/>
      <c r="G112" s="264" t="str">
        <f>VLOOKUP(B112,INSUMOS!$A:$I,5,FALSE)</f>
        <v>M</v>
      </c>
      <c r="H112" s="267">
        <v>0.8</v>
      </c>
      <c r="I112" s="266">
        <f>VLOOKUP(B112,INSUMOS!$A:$I,8,FALSE)</f>
        <v>9.84</v>
      </c>
      <c r="J112" s="266">
        <f t="shared" si="22"/>
        <v>7.87</v>
      </c>
      <c r="K112" s="172"/>
      <c r="L112" s="145">
        <f t="shared" si="15"/>
        <v>12</v>
      </c>
      <c r="M112" s="156">
        <f t="shared" si="16"/>
        <v>7.87</v>
      </c>
      <c r="N112" s="157" t="str">
        <f t="shared" si="17"/>
        <v/>
      </c>
      <c r="O112" s="157">
        <f t="shared" si="18"/>
        <v>7.87</v>
      </c>
      <c r="P112" s="158" t="str">
        <f t="shared" si="19"/>
        <v/>
      </c>
      <c r="Q112" s="157" t="str">
        <f t="shared" si="20"/>
        <v/>
      </c>
      <c r="R112" s="157" t="str">
        <f t="shared" si="21"/>
        <v/>
      </c>
    </row>
    <row r="113" spans="1:18" hidden="1" x14ac:dyDescent="0.25">
      <c r="A113" s="273" t="s">
        <v>31</v>
      </c>
      <c r="B113" s="265" t="s">
        <v>291</v>
      </c>
      <c r="C113" s="273" t="str">
        <f>VLOOKUP(B113,INSUMOS!$A:$I,2,FALSE)</f>
        <v>SINAPI</v>
      </c>
      <c r="D113" s="273" t="str">
        <f>VLOOKUP(B113,INSUMOS!$A:$I,3,FALSE)</f>
        <v>PORCA ZINCADA, SEXTAVADA, DIAMETRO 3/8"</v>
      </c>
      <c r="E113" s="361" t="str">
        <f>VLOOKUP(B113,INSUMOS!$A:$I,4,FALSE)</f>
        <v>Material</v>
      </c>
      <c r="F113" s="361"/>
      <c r="G113" s="264" t="str">
        <f>VLOOKUP(B113,INSUMOS!$A:$I,5,FALSE)</f>
        <v>UN</v>
      </c>
      <c r="H113" s="267">
        <v>6</v>
      </c>
      <c r="I113" s="266">
        <f>VLOOKUP(B113,INSUMOS!$A:$I,8,FALSE)</f>
        <v>0.13</v>
      </c>
      <c r="J113" s="266">
        <f t="shared" si="22"/>
        <v>0.78</v>
      </c>
      <c r="K113" s="172"/>
      <c r="L113" s="145">
        <f t="shared" si="15"/>
        <v>12</v>
      </c>
      <c r="M113" s="156">
        <f t="shared" si="16"/>
        <v>0.78</v>
      </c>
      <c r="N113" s="157" t="str">
        <f t="shared" si="17"/>
        <v/>
      </c>
      <c r="O113" s="157">
        <f t="shared" si="18"/>
        <v>0.78</v>
      </c>
      <c r="P113" s="158" t="str">
        <f t="shared" si="19"/>
        <v/>
      </c>
      <c r="Q113" s="157" t="str">
        <f t="shared" si="20"/>
        <v/>
      </c>
      <c r="R113" s="157" t="str">
        <f t="shared" si="21"/>
        <v/>
      </c>
    </row>
    <row r="114" spans="1:18" ht="26.4" hidden="1" x14ac:dyDescent="0.25">
      <c r="A114" s="273" t="s">
        <v>31</v>
      </c>
      <c r="B114" s="265" t="s">
        <v>521</v>
      </c>
      <c r="C114" s="273" t="str">
        <f>VLOOKUP(B114,INSUMOS!$A:$I,2,FALSE)</f>
        <v>SINAPI</v>
      </c>
      <c r="D114" s="273" t="str">
        <f>VLOOKUP(B114,INSUMOS!$A:$I,3,FALSE)</f>
        <v>ABRACADEIRA EM ACO PARA AMARRACAO DE ELETRODUTOS, TIPO U SIMPLES, COM 4"</v>
      </c>
      <c r="E114" s="361" t="str">
        <f>VLOOKUP(B114,INSUMOS!$A:$I,4,FALSE)</f>
        <v>Material</v>
      </c>
      <c r="F114" s="361"/>
      <c r="G114" s="264" t="str">
        <f>VLOOKUP(B114,INSUMOS!$A:$I,5,FALSE)</f>
        <v>UN</v>
      </c>
      <c r="H114" s="267">
        <v>1</v>
      </c>
      <c r="I114" s="266">
        <f>VLOOKUP(B114,INSUMOS!$A:$I,8,FALSE)</f>
        <v>4.0999999999999996</v>
      </c>
      <c r="J114" s="266">
        <f t="shared" si="22"/>
        <v>4.0999999999999996</v>
      </c>
      <c r="K114" s="172"/>
      <c r="L114" s="145">
        <f t="shared" si="15"/>
        <v>12</v>
      </c>
      <c r="M114" s="156">
        <f t="shared" si="16"/>
        <v>4.0999999999999996</v>
      </c>
      <c r="N114" s="157" t="str">
        <f t="shared" si="17"/>
        <v/>
      </c>
      <c r="O114" s="157">
        <f t="shared" si="18"/>
        <v>4.0999999999999996</v>
      </c>
      <c r="P114" s="158" t="str">
        <f t="shared" si="19"/>
        <v/>
      </c>
      <c r="Q114" s="157" t="str">
        <f t="shared" si="20"/>
        <v/>
      </c>
      <c r="R114" s="157" t="str">
        <f t="shared" si="21"/>
        <v/>
      </c>
    </row>
    <row r="115" spans="1:18" ht="14.25" hidden="1" customHeight="1" x14ac:dyDescent="0.25">
      <c r="A115" s="273" t="s">
        <v>31</v>
      </c>
      <c r="B115" s="265" t="s">
        <v>287</v>
      </c>
      <c r="C115" s="273" t="str">
        <f>VLOOKUP(B115,INSUMOS!$A:$I,2,FALSE)</f>
        <v>SINAPI</v>
      </c>
      <c r="D115" s="273" t="str">
        <f>VLOOKUP(B115,INSUMOS!$A:$I,3,FALSE)</f>
        <v>ABRACADEIRA EM ACO PARA AMARRACAO DE ELETRODUTOS, TIPO U SIMPLES, COM 2"</v>
      </c>
      <c r="E115" s="361" t="str">
        <f>VLOOKUP(B115,INSUMOS!$A:$I,4,FALSE)</f>
        <v>Material</v>
      </c>
      <c r="F115" s="361"/>
      <c r="G115" s="264" t="str">
        <f>VLOOKUP(B115,INSUMOS!$A:$I,5,FALSE)</f>
        <v>UN</v>
      </c>
      <c r="H115" s="267">
        <v>2</v>
      </c>
      <c r="I115" s="266">
        <f>VLOOKUP(B115,INSUMOS!$A:$I,8,FALSE)</f>
        <v>1.53</v>
      </c>
      <c r="J115" s="266">
        <f t="shared" si="22"/>
        <v>3.06</v>
      </c>
      <c r="K115" s="172"/>
      <c r="L115" s="145">
        <f t="shared" si="15"/>
        <v>12</v>
      </c>
      <c r="M115" s="156">
        <f t="shared" si="16"/>
        <v>3.06</v>
      </c>
      <c r="N115" s="157" t="str">
        <f t="shared" si="17"/>
        <v/>
      </c>
      <c r="O115" s="157">
        <f t="shared" si="18"/>
        <v>3.06</v>
      </c>
      <c r="P115" s="158" t="str">
        <f t="shared" si="19"/>
        <v/>
      </c>
      <c r="Q115" s="157" t="str">
        <f t="shared" si="20"/>
        <v/>
      </c>
      <c r="R115" s="157" t="str">
        <f t="shared" si="21"/>
        <v/>
      </c>
    </row>
    <row r="116" spans="1:18" ht="25.5" hidden="1" customHeight="1" x14ac:dyDescent="0.25">
      <c r="A116" s="274"/>
      <c r="B116" s="274"/>
      <c r="C116" s="274"/>
      <c r="D116" s="274"/>
      <c r="E116" s="274"/>
      <c r="F116" s="268"/>
      <c r="G116" s="274"/>
      <c r="H116" s="268"/>
      <c r="I116" s="274"/>
      <c r="J116" s="268"/>
      <c r="K116" s="172"/>
      <c r="L116" s="145">
        <f t="shared" si="15"/>
        <v>12</v>
      </c>
      <c r="M116" s="156" t="str">
        <f t="shared" si="16"/>
        <v/>
      </c>
      <c r="N116" s="157" t="str">
        <f t="shared" si="17"/>
        <v/>
      </c>
      <c r="O116" s="157" t="str">
        <f t="shared" si="18"/>
        <v/>
      </c>
      <c r="P116" s="158" t="str">
        <f t="shared" si="19"/>
        <v/>
      </c>
      <c r="Q116" s="157" t="str">
        <f t="shared" si="20"/>
        <v/>
      </c>
      <c r="R116" s="157" t="str">
        <f t="shared" si="21"/>
        <v/>
      </c>
    </row>
    <row r="117" spans="1:18" ht="14.4" hidden="1" thickBot="1" x14ac:dyDescent="0.3">
      <c r="A117" s="274"/>
      <c r="B117" s="274"/>
      <c r="C117" s="274"/>
      <c r="D117" s="274"/>
      <c r="E117" s="274"/>
      <c r="F117" s="268"/>
      <c r="G117" s="274"/>
      <c r="H117" s="350"/>
      <c r="I117" s="350"/>
      <c r="J117" s="268"/>
      <c r="K117" s="172"/>
      <c r="L117" s="145">
        <f t="shared" si="15"/>
        <v>12</v>
      </c>
      <c r="M117" s="156" t="str">
        <f t="shared" si="16"/>
        <v/>
      </c>
      <c r="N117" s="157" t="str">
        <f t="shared" si="17"/>
        <v/>
      </c>
      <c r="O117" s="157" t="str">
        <f t="shared" si="18"/>
        <v/>
      </c>
      <c r="P117" s="158" t="str">
        <f t="shared" si="19"/>
        <v/>
      </c>
      <c r="Q117" s="157" t="str">
        <f t="shared" si="20"/>
        <v/>
      </c>
      <c r="R117" s="157" t="str">
        <f t="shared" si="21"/>
        <v/>
      </c>
    </row>
    <row r="118" spans="1:18" ht="14.4" hidden="1" thickTop="1" x14ac:dyDescent="0.25">
      <c r="A118" s="259"/>
      <c r="B118" s="259"/>
      <c r="C118" s="259"/>
      <c r="D118" s="259"/>
      <c r="E118" s="259"/>
      <c r="F118" s="259"/>
      <c r="G118" s="259"/>
      <c r="H118" s="259"/>
      <c r="I118" s="259"/>
      <c r="J118" s="259"/>
      <c r="K118" s="172"/>
      <c r="L118" s="145">
        <f t="shared" si="15"/>
        <v>13</v>
      </c>
      <c r="M118" s="156" t="str">
        <f t="shared" si="16"/>
        <v/>
      </c>
      <c r="N118" s="157" t="str">
        <f t="shared" si="17"/>
        <v/>
      </c>
      <c r="O118" s="157" t="str">
        <f t="shared" si="18"/>
        <v/>
      </c>
      <c r="P118" s="158" t="str">
        <f t="shared" si="19"/>
        <v/>
      </c>
      <c r="Q118" s="157" t="str">
        <f t="shared" si="20"/>
        <v/>
      </c>
      <c r="R118" s="157" t="str">
        <f t="shared" si="21"/>
        <v/>
      </c>
    </row>
    <row r="119" spans="1:18" ht="14.25" hidden="1" customHeight="1" x14ac:dyDescent="0.25">
      <c r="A119" s="270" t="s">
        <v>681</v>
      </c>
      <c r="B119" s="254" t="s">
        <v>1</v>
      </c>
      <c r="C119" s="270" t="s">
        <v>2</v>
      </c>
      <c r="D119" s="270" t="s">
        <v>3</v>
      </c>
      <c r="E119" s="347" t="s">
        <v>19</v>
      </c>
      <c r="F119" s="347"/>
      <c r="G119" s="253" t="s">
        <v>4</v>
      </c>
      <c r="H119" s="254" t="s">
        <v>5</v>
      </c>
      <c r="I119" s="254" t="s">
        <v>6</v>
      </c>
      <c r="J119" s="254" t="s">
        <v>7</v>
      </c>
      <c r="K119" s="172"/>
      <c r="L119" s="145">
        <f t="shared" si="15"/>
        <v>13</v>
      </c>
      <c r="M119" s="156" t="str">
        <f t="shared" si="16"/>
        <v/>
      </c>
      <c r="N119" s="157" t="str">
        <f t="shared" si="17"/>
        <v/>
      </c>
      <c r="O119" s="157" t="str">
        <f t="shared" si="18"/>
        <v/>
      </c>
      <c r="P119" s="158" t="str">
        <f t="shared" si="19"/>
        <v/>
      </c>
      <c r="Q119" s="157" t="str">
        <f t="shared" si="20"/>
        <v/>
      </c>
      <c r="R119" s="157" t="str">
        <f t="shared" si="21"/>
        <v/>
      </c>
    </row>
    <row r="120" spans="1:18" ht="14.25" hidden="1" customHeight="1" x14ac:dyDescent="0.25">
      <c r="A120" s="271" t="s">
        <v>20</v>
      </c>
      <c r="B120" s="256" t="s">
        <v>682</v>
      </c>
      <c r="C120" s="271" t="s">
        <v>13</v>
      </c>
      <c r="D120" s="271" t="s">
        <v>683</v>
      </c>
      <c r="E120" s="362" t="s">
        <v>315</v>
      </c>
      <c r="F120" s="362"/>
      <c r="G120" s="255" t="s">
        <v>375</v>
      </c>
      <c r="H120" s="258">
        <v>1</v>
      </c>
      <c r="I120" s="257">
        <f>SUMIF(L:L,$L120,M:M)</f>
        <v>22.349999999999998</v>
      </c>
      <c r="J120" s="257">
        <f t="shared" ref="J120:J126" si="23">TRUNC(H120*I120,2)</f>
        <v>22.35</v>
      </c>
      <c r="K120" s="172"/>
      <c r="L120" s="145">
        <f t="shared" si="15"/>
        <v>13</v>
      </c>
      <c r="M120" s="156" t="str">
        <f t="shared" si="16"/>
        <v/>
      </c>
      <c r="N120" s="157" t="str">
        <f t="shared" si="17"/>
        <v/>
      </c>
      <c r="O120" s="157" t="str">
        <f t="shared" si="18"/>
        <v/>
      </c>
      <c r="P120" s="158" t="str">
        <f t="shared" si="19"/>
        <v xml:space="preserve"> S-ELE-SFCR-PGR-30 </v>
      </c>
      <c r="Q120" s="157">
        <f t="shared" si="20"/>
        <v>0</v>
      </c>
      <c r="R120" s="157">
        <f t="shared" si="21"/>
        <v>22.349999999999998</v>
      </c>
    </row>
    <row r="121" spans="1:18" ht="15" hidden="1" customHeight="1" x14ac:dyDescent="0.25">
      <c r="A121" s="272" t="s">
        <v>22</v>
      </c>
      <c r="B121" s="261" t="s">
        <v>313</v>
      </c>
      <c r="C121" s="272" t="s">
        <v>10</v>
      </c>
      <c r="D121" s="272" t="s">
        <v>314</v>
      </c>
      <c r="E121" s="363" t="s">
        <v>27</v>
      </c>
      <c r="F121" s="363"/>
      <c r="G121" s="260" t="s">
        <v>28</v>
      </c>
      <c r="H121" s="263">
        <v>0.25</v>
      </c>
      <c r="I121" s="262">
        <f>SUMIFS(J:J,A:A,"Composição",B:B,$B121)</f>
        <v>24.1</v>
      </c>
      <c r="J121" s="262">
        <f t="shared" si="23"/>
        <v>6.02</v>
      </c>
      <c r="K121" s="172"/>
      <c r="L121" s="145">
        <f t="shared" si="15"/>
        <v>13</v>
      </c>
      <c r="M121" s="156">
        <f t="shared" si="16"/>
        <v>6.02</v>
      </c>
      <c r="N121" s="157" t="str">
        <f t="shared" si="17"/>
        <v/>
      </c>
      <c r="O121" s="157">
        <f t="shared" si="18"/>
        <v>6.02</v>
      </c>
      <c r="P121" s="158" t="str">
        <f t="shared" si="19"/>
        <v/>
      </c>
      <c r="Q121" s="157" t="str">
        <f t="shared" si="20"/>
        <v/>
      </c>
      <c r="R121" s="157" t="str">
        <f t="shared" si="21"/>
        <v/>
      </c>
    </row>
    <row r="122" spans="1:18" ht="14.25" hidden="1" customHeight="1" x14ac:dyDescent="0.25">
      <c r="A122" s="272" t="s">
        <v>22</v>
      </c>
      <c r="B122" s="261" t="s">
        <v>298</v>
      </c>
      <c r="C122" s="272" t="s">
        <v>10</v>
      </c>
      <c r="D122" s="272" t="s">
        <v>299</v>
      </c>
      <c r="E122" s="363" t="s">
        <v>27</v>
      </c>
      <c r="F122" s="363"/>
      <c r="G122" s="260" t="s">
        <v>28</v>
      </c>
      <c r="H122" s="263">
        <v>0.25</v>
      </c>
      <c r="I122" s="262">
        <f>SUMIFS(J:J,A:A,"Composição",B:B,$B122)</f>
        <v>18.739999999999998</v>
      </c>
      <c r="J122" s="262">
        <f t="shared" si="23"/>
        <v>4.68</v>
      </c>
      <c r="K122" s="172"/>
      <c r="L122" s="145">
        <f t="shared" si="15"/>
        <v>13</v>
      </c>
      <c r="M122" s="156">
        <f t="shared" si="16"/>
        <v>4.68</v>
      </c>
      <c r="N122" s="157" t="str">
        <f t="shared" si="17"/>
        <v/>
      </c>
      <c r="O122" s="157">
        <f t="shared" si="18"/>
        <v>4.68</v>
      </c>
      <c r="P122" s="158" t="str">
        <f t="shared" si="19"/>
        <v/>
      </c>
      <c r="Q122" s="157" t="str">
        <f t="shared" si="20"/>
        <v/>
      </c>
      <c r="R122" s="157" t="str">
        <f t="shared" si="21"/>
        <v/>
      </c>
    </row>
    <row r="123" spans="1:18" ht="14.25" hidden="1" customHeight="1" x14ac:dyDescent="0.25">
      <c r="A123" s="273" t="s">
        <v>31</v>
      </c>
      <c r="B123" s="265" t="s">
        <v>488</v>
      </c>
      <c r="C123" s="273" t="str">
        <f>VLOOKUP(B123,INSUMOS!$A:$I,2,FALSE)</f>
        <v>SINAPI</v>
      </c>
      <c r="D123" s="273" t="str">
        <f>VLOOKUP(B123,INSUMOS!$A:$I,3,FALSE)</f>
        <v>MEIO BLOCO DE VEDACAO DE CONCRETO 19 X 19 X 19 CM (CLASSE C - NBR 6136)</v>
      </c>
      <c r="E123" s="361" t="str">
        <f>VLOOKUP(B123,INSUMOS!$A:$I,4,FALSE)</f>
        <v>Material</v>
      </c>
      <c r="F123" s="361"/>
      <c r="G123" s="264" t="str">
        <f>VLOOKUP(B123,INSUMOS!$A:$I,5,FALSE)</f>
        <v>UN</v>
      </c>
      <c r="H123" s="267">
        <v>1</v>
      </c>
      <c r="I123" s="266">
        <f>VLOOKUP(B123,INSUMOS!$A:$I,8,FALSE)</f>
        <v>2.08</v>
      </c>
      <c r="J123" s="266">
        <f t="shared" si="23"/>
        <v>2.08</v>
      </c>
      <c r="K123" s="172"/>
      <c r="L123" s="145">
        <f t="shared" si="15"/>
        <v>13</v>
      </c>
      <c r="M123" s="156">
        <f t="shared" si="16"/>
        <v>2.08</v>
      </c>
      <c r="N123" s="157" t="str">
        <f t="shared" si="17"/>
        <v/>
      </c>
      <c r="O123" s="157">
        <f t="shared" si="18"/>
        <v>2.08</v>
      </c>
      <c r="P123" s="158" t="str">
        <f t="shared" si="19"/>
        <v/>
      </c>
      <c r="Q123" s="157" t="str">
        <f t="shared" si="20"/>
        <v/>
      </c>
      <c r="R123" s="157" t="str">
        <f t="shared" si="21"/>
        <v/>
      </c>
    </row>
    <row r="124" spans="1:18" ht="25.5" hidden="1" customHeight="1" x14ac:dyDescent="0.25">
      <c r="A124" s="273" t="s">
        <v>31</v>
      </c>
      <c r="B124" s="265" t="s">
        <v>287</v>
      </c>
      <c r="C124" s="273" t="str">
        <f>VLOOKUP(B124,INSUMOS!$A:$I,2,FALSE)</f>
        <v>SINAPI</v>
      </c>
      <c r="D124" s="273" t="str">
        <f>VLOOKUP(B124,INSUMOS!$A:$I,3,FALSE)</f>
        <v>ABRACADEIRA EM ACO PARA AMARRACAO DE ELETRODUTOS, TIPO U SIMPLES, COM 2"</v>
      </c>
      <c r="E124" s="361" t="str">
        <f>VLOOKUP(B124,INSUMOS!$A:$I,4,FALSE)</f>
        <v>Material</v>
      </c>
      <c r="F124" s="361"/>
      <c r="G124" s="264" t="str">
        <f>VLOOKUP(B124,INSUMOS!$A:$I,5,FALSE)</f>
        <v>UN</v>
      </c>
      <c r="H124" s="267">
        <v>1</v>
      </c>
      <c r="I124" s="266">
        <f>VLOOKUP(B124,INSUMOS!$A:$I,8,FALSE)</f>
        <v>1.53</v>
      </c>
      <c r="J124" s="266">
        <f t="shared" si="23"/>
        <v>1.53</v>
      </c>
      <c r="K124" s="172"/>
      <c r="L124" s="145">
        <f t="shared" si="15"/>
        <v>13</v>
      </c>
      <c r="M124" s="156">
        <f t="shared" si="16"/>
        <v>1.53</v>
      </c>
      <c r="N124" s="157" t="str">
        <f t="shared" si="17"/>
        <v/>
      </c>
      <c r="O124" s="157">
        <f t="shared" si="18"/>
        <v>1.53</v>
      </c>
      <c r="P124" s="158" t="str">
        <f t="shared" si="19"/>
        <v/>
      </c>
      <c r="Q124" s="157" t="str">
        <f t="shared" si="20"/>
        <v/>
      </c>
      <c r="R124" s="157" t="str">
        <f t="shared" si="21"/>
        <v/>
      </c>
    </row>
    <row r="125" spans="1:18" ht="38.25" hidden="1" customHeight="1" x14ac:dyDescent="0.25">
      <c r="A125" s="273" t="s">
        <v>31</v>
      </c>
      <c r="B125" s="265" t="s">
        <v>289</v>
      </c>
      <c r="C125" s="273" t="str">
        <f>VLOOKUP(B125,INSUMOS!$A:$I,2,FALSE)</f>
        <v>SINAPI</v>
      </c>
      <c r="D125" s="273" t="str">
        <f>VLOOKUP(B125,INSUMOS!$A:$I,3,FALSE)</f>
        <v>BUCHA DE NYLON SEM ABA S6, COM PARAFUSO DE 4,20 X 40 MM EM ACO ZINCADO COM ROSCA SOBERBA, CABECA CHATA E FENDA PHILLIPS</v>
      </c>
      <c r="E125" s="361" t="str">
        <f>VLOOKUP(B125,INSUMOS!$A:$I,4,FALSE)</f>
        <v>Material</v>
      </c>
      <c r="F125" s="361"/>
      <c r="G125" s="264" t="str">
        <f>VLOOKUP(B125,INSUMOS!$A:$I,5,FALSE)</f>
        <v>UN</v>
      </c>
      <c r="H125" s="267">
        <v>2</v>
      </c>
      <c r="I125" s="266">
        <f>VLOOKUP(B125,INSUMOS!$A:$I,8,FALSE)</f>
        <v>0.33</v>
      </c>
      <c r="J125" s="266">
        <f t="shared" si="23"/>
        <v>0.66</v>
      </c>
      <c r="K125" s="172"/>
      <c r="L125" s="145">
        <f t="shared" si="15"/>
        <v>13</v>
      </c>
      <c r="M125" s="156">
        <f t="shared" si="16"/>
        <v>0.66</v>
      </c>
      <c r="N125" s="157" t="str">
        <f t="shared" si="17"/>
        <v/>
      </c>
      <c r="O125" s="157">
        <f t="shared" si="18"/>
        <v>0.66</v>
      </c>
      <c r="P125" s="158" t="str">
        <f t="shared" si="19"/>
        <v/>
      </c>
      <c r="Q125" s="157" t="str">
        <f t="shared" si="20"/>
        <v/>
      </c>
      <c r="R125" s="157" t="str">
        <f t="shared" si="21"/>
        <v/>
      </c>
    </row>
    <row r="126" spans="1:18" ht="38.25" hidden="1" customHeight="1" x14ac:dyDescent="0.25">
      <c r="A126" s="273" t="s">
        <v>31</v>
      </c>
      <c r="B126" s="265" t="s">
        <v>439</v>
      </c>
      <c r="C126" s="273" t="str">
        <f>VLOOKUP(B126,INSUMOS!$A:$I,2,FALSE)</f>
        <v>SINAPI</v>
      </c>
      <c r="D126" s="273" t="str">
        <f>VLOOKUP(B126,INSUMOS!$A:$I,3,FALSE)</f>
        <v>ADESIVO ESTRUTURAL A BASE DE RESINA EPOXI, BICOMPONENTE, FLUIDO</v>
      </c>
      <c r="E126" s="361" t="str">
        <f>VLOOKUP(B126,INSUMOS!$A:$I,4,FALSE)</f>
        <v>Material</v>
      </c>
      <c r="F126" s="361"/>
      <c r="G126" s="264" t="str">
        <f>VLOOKUP(B126,INSUMOS!$A:$I,5,FALSE)</f>
        <v>KG</v>
      </c>
      <c r="H126" s="267">
        <v>0.15</v>
      </c>
      <c r="I126" s="266">
        <f>VLOOKUP(B126,INSUMOS!$A:$I,8,FALSE)</f>
        <v>49.21</v>
      </c>
      <c r="J126" s="266">
        <f t="shared" si="23"/>
        <v>7.38</v>
      </c>
      <c r="K126" s="172"/>
      <c r="L126" s="145">
        <f t="shared" si="15"/>
        <v>13</v>
      </c>
      <c r="M126" s="156">
        <f t="shared" si="16"/>
        <v>7.38</v>
      </c>
      <c r="N126" s="157" t="str">
        <f t="shared" si="17"/>
        <v/>
      </c>
      <c r="O126" s="157">
        <f t="shared" si="18"/>
        <v>7.38</v>
      </c>
      <c r="P126" s="158" t="str">
        <f t="shared" si="19"/>
        <v/>
      </c>
      <c r="Q126" s="157" t="str">
        <f t="shared" si="20"/>
        <v/>
      </c>
      <c r="R126" s="157" t="str">
        <f t="shared" si="21"/>
        <v/>
      </c>
    </row>
    <row r="127" spans="1:18" ht="14.25" hidden="1" customHeight="1" x14ac:dyDescent="0.25">
      <c r="A127" s="274"/>
      <c r="B127" s="274"/>
      <c r="C127" s="274"/>
      <c r="D127" s="274"/>
      <c r="E127" s="274"/>
      <c r="F127" s="268"/>
      <c r="G127" s="274"/>
      <c r="H127" s="268"/>
      <c r="I127" s="274"/>
      <c r="J127" s="268"/>
      <c r="K127" s="172"/>
      <c r="L127" s="145">
        <f t="shared" si="15"/>
        <v>13</v>
      </c>
      <c r="M127" s="156" t="str">
        <f t="shared" si="16"/>
        <v/>
      </c>
      <c r="N127" s="157" t="str">
        <f t="shared" si="17"/>
        <v/>
      </c>
      <c r="O127" s="157" t="str">
        <f t="shared" si="18"/>
        <v/>
      </c>
      <c r="P127" s="158" t="str">
        <f t="shared" si="19"/>
        <v/>
      </c>
      <c r="Q127" s="157" t="str">
        <f t="shared" si="20"/>
        <v/>
      </c>
      <c r="R127" s="157" t="str">
        <f t="shared" si="21"/>
        <v/>
      </c>
    </row>
    <row r="128" spans="1:18" ht="15" hidden="1" customHeight="1" thickBot="1" x14ac:dyDescent="0.3">
      <c r="A128" s="274"/>
      <c r="B128" s="274"/>
      <c r="C128" s="274"/>
      <c r="D128" s="274"/>
      <c r="E128" s="274"/>
      <c r="F128" s="268"/>
      <c r="G128" s="274"/>
      <c r="H128" s="350"/>
      <c r="I128" s="350"/>
      <c r="J128" s="268"/>
      <c r="K128" s="172"/>
      <c r="L128" s="145">
        <f t="shared" si="15"/>
        <v>13</v>
      </c>
      <c r="M128" s="156" t="str">
        <f t="shared" si="16"/>
        <v/>
      </c>
      <c r="N128" s="157" t="str">
        <f t="shared" si="17"/>
        <v/>
      </c>
      <c r="O128" s="157" t="str">
        <f t="shared" si="18"/>
        <v/>
      </c>
      <c r="P128" s="158" t="str">
        <f t="shared" si="19"/>
        <v/>
      </c>
      <c r="Q128" s="157" t="str">
        <f t="shared" si="20"/>
        <v/>
      </c>
      <c r="R128" s="157" t="str">
        <f t="shared" si="21"/>
        <v/>
      </c>
    </row>
    <row r="129" spans="1:18" ht="14.4" hidden="1" thickTop="1" x14ac:dyDescent="0.25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  <c r="K129" s="172"/>
      <c r="L129" s="145">
        <f t="shared" si="15"/>
        <v>14</v>
      </c>
      <c r="M129" s="156" t="str">
        <f t="shared" si="16"/>
        <v/>
      </c>
      <c r="N129" s="157" t="str">
        <f t="shared" si="17"/>
        <v/>
      </c>
      <c r="O129" s="157" t="str">
        <f t="shared" si="18"/>
        <v/>
      </c>
      <c r="P129" s="158" t="str">
        <f t="shared" si="19"/>
        <v/>
      </c>
      <c r="Q129" s="157" t="str">
        <f t="shared" si="20"/>
        <v/>
      </c>
      <c r="R129" s="157" t="str">
        <f t="shared" si="21"/>
        <v/>
      </c>
    </row>
    <row r="130" spans="1:18" hidden="1" x14ac:dyDescent="0.25">
      <c r="A130" s="270" t="s">
        <v>684</v>
      </c>
      <c r="B130" s="254" t="s">
        <v>1</v>
      </c>
      <c r="C130" s="270" t="s">
        <v>2</v>
      </c>
      <c r="D130" s="270" t="s">
        <v>3</v>
      </c>
      <c r="E130" s="347" t="s">
        <v>19</v>
      </c>
      <c r="F130" s="347"/>
      <c r="G130" s="253" t="s">
        <v>4</v>
      </c>
      <c r="H130" s="254" t="s">
        <v>5</v>
      </c>
      <c r="I130" s="254" t="s">
        <v>6</v>
      </c>
      <c r="J130" s="254" t="s">
        <v>7</v>
      </c>
      <c r="K130" s="172"/>
      <c r="L130" s="145">
        <f t="shared" si="15"/>
        <v>14</v>
      </c>
      <c r="M130" s="156" t="str">
        <f t="shared" si="16"/>
        <v/>
      </c>
      <c r="N130" s="157" t="str">
        <f t="shared" si="17"/>
        <v/>
      </c>
      <c r="O130" s="157" t="str">
        <f t="shared" si="18"/>
        <v/>
      </c>
      <c r="P130" s="158" t="str">
        <f t="shared" si="19"/>
        <v/>
      </c>
      <c r="Q130" s="157" t="str">
        <f t="shared" si="20"/>
        <v/>
      </c>
      <c r="R130" s="157" t="str">
        <f t="shared" si="21"/>
        <v/>
      </c>
    </row>
    <row r="131" spans="1:18" ht="25.5" hidden="1" customHeight="1" x14ac:dyDescent="0.25">
      <c r="A131" s="271" t="s">
        <v>20</v>
      </c>
      <c r="B131" s="256" t="s">
        <v>685</v>
      </c>
      <c r="C131" s="271" t="s">
        <v>13</v>
      </c>
      <c r="D131" s="271" t="s">
        <v>686</v>
      </c>
      <c r="E131" s="362" t="s">
        <v>315</v>
      </c>
      <c r="F131" s="362"/>
      <c r="G131" s="255" t="s">
        <v>375</v>
      </c>
      <c r="H131" s="258">
        <v>1</v>
      </c>
      <c r="I131" s="257">
        <f>SUMIF(L:L,$L131,M:M)</f>
        <v>16.75</v>
      </c>
      <c r="J131" s="257">
        <f t="shared" ref="J131:J139" si="24">TRUNC(H131*I131,2)</f>
        <v>16.75</v>
      </c>
      <c r="K131" s="172"/>
      <c r="L131" s="145">
        <f t="shared" si="15"/>
        <v>14</v>
      </c>
      <c r="M131" s="156" t="str">
        <f t="shared" si="16"/>
        <v/>
      </c>
      <c r="N131" s="157" t="str">
        <f t="shared" si="17"/>
        <v/>
      </c>
      <c r="O131" s="157" t="str">
        <f t="shared" si="18"/>
        <v/>
      </c>
      <c r="P131" s="158" t="str">
        <f t="shared" si="19"/>
        <v xml:space="preserve"> S-ELE-SFCR-PGR-17 </v>
      </c>
      <c r="Q131" s="157">
        <f t="shared" si="20"/>
        <v>0</v>
      </c>
      <c r="R131" s="157">
        <f t="shared" si="21"/>
        <v>16.75</v>
      </c>
    </row>
    <row r="132" spans="1:18" ht="25.5" hidden="1" customHeight="1" x14ac:dyDescent="0.25">
      <c r="A132" s="272" t="s">
        <v>22</v>
      </c>
      <c r="B132" s="261" t="s">
        <v>313</v>
      </c>
      <c r="C132" s="272" t="s">
        <v>10</v>
      </c>
      <c r="D132" s="272" t="s">
        <v>314</v>
      </c>
      <c r="E132" s="363" t="s">
        <v>27</v>
      </c>
      <c r="F132" s="363"/>
      <c r="G132" s="260" t="s">
        <v>28</v>
      </c>
      <c r="H132" s="263">
        <v>8.3000000000000004E-2</v>
      </c>
      <c r="I132" s="262">
        <f>SUMIFS(J:J,A:A,"Composição",B:B,$B132)</f>
        <v>24.1</v>
      </c>
      <c r="J132" s="262">
        <f t="shared" si="24"/>
        <v>2</v>
      </c>
      <c r="K132" s="172"/>
      <c r="L132" s="145">
        <f t="shared" si="15"/>
        <v>14</v>
      </c>
      <c r="M132" s="156">
        <f t="shared" si="16"/>
        <v>2</v>
      </c>
      <c r="N132" s="157" t="str">
        <f t="shared" si="17"/>
        <v/>
      </c>
      <c r="O132" s="157">
        <f t="shared" si="18"/>
        <v>2</v>
      </c>
      <c r="P132" s="158" t="str">
        <f t="shared" si="19"/>
        <v/>
      </c>
      <c r="Q132" s="157" t="str">
        <f t="shared" si="20"/>
        <v/>
      </c>
      <c r="R132" s="157" t="str">
        <f t="shared" si="21"/>
        <v/>
      </c>
    </row>
    <row r="133" spans="1:18" ht="14.25" hidden="1" customHeight="1" x14ac:dyDescent="0.25">
      <c r="A133" s="272" t="s">
        <v>22</v>
      </c>
      <c r="B133" s="261" t="s">
        <v>298</v>
      </c>
      <c r="C133" s="272" t="s">
        <v>10</v>
      </c>
      <c r="D133" s="272" t="s">
        <v>299</v>
      </c>
      <c r="E133" s="363" t="s">
        <v>27</v>
      </c>
      <c r="F133" s="363"/>
      <c r="G133" s="260" t="s">
        <v>28</v>
      </c>
      <c r="H133" s="263">
        <v>8.3000000000000004E-2</v>
      </c>
      <c r="I133" s="262">
        <f>SUMIFS(J:J,A:A,"Composição",B:B,$B133)</f>
        <v>18.739999999999998</v>
      </c>
      <c r="J133" s="262">
        <f t="shared" si="24"/>
        <v>1.55</v>
      </c>
      <c r="K133" s="172"/>
      <c r="L133" s="145">
        <f t="shared" si="15"/>
        <v>14</v>
      </c>
      <c r="M133" s="156">
        <f t="shared" si="16"/>
        <v>1.55</v>
      </c>
      <c r="N133" s="157" t="str">
        <f t="shared" si="17"/>
        <v/>
      </c>
      <c r="O133" s="157">
        <f t="shared" si="18"/>
        <v>1.55</v>
      </c>
      <c r="P133" s="158" t="str">
        <f t="shared" si="19"/>
        <v/>
      </c>
      <c r="Q133" s="157" t="str">
        <f t="shared" si="20"/>
        <v/>
      </c>
      <c r="R133" s="157" t="str">
        <f t="shared" si="21"/>
        <v/>
      </c>
    </row>
    <row r="134" spans="1:18" ht="15" hidden="1" customHeight="1" x14ac:dyDescent="0.25">
      <c r="A134" s="273" t="s">
        <v>31</v>
      </c>
      <c r="B134" s="265" t="s">
        <v>458</v>
      </c>
      <c r="C134" s="273" t="str">
        <f>VLOOKUP(B134,INSUMOS!$A:$I,2,FALSE)</f>
        <v>ORSE</v>
      </c>
      <c r="D134" s="273" t="str">
        <f>VLOOKUP(B134,INSUMOS!$A:$I,3,FALSE)</f>
        <v>Parafuso em aço inox, cabeça sextavada 1/4" x 1 1/4"</v>
      </c>
      <c r="E134" s="361" t="str">
        <f>VLOOKUP(B134,INSUMOS!$A:$I,4,FALSE)</f>
        <v>Material</v>
      </c>
      <c r="F134" s="361"/>
      <c r="G134" s="264" t="str">
        <f>VLOOKUP(B134,INSUMOS!$A:$I,5,FALSE)</f>
        <v>un</v>
      </c>
      <c r="H134" s="267">
        <v>2</v>
      </c>
      <c r="I134" s="266">
        <f>VLOOKUP(B134,INSUMOS!$A:$I,8,FALSE)</f>
        <v>0.62</v>
      </c>
      <c r="J134" s="266">
        <f t="shared" si="24"/>
        <v>1.24</v>
      </c>
      <c r="K134" s="172"/>
      <c r="L134" s="145">
        <f t="shared" si="15"/>
        <v>14</v>
      </c>
      <c r="M134" s="156">
        <f t="shared" si="16"/>
        <v>1.24</v>
      </c>
      <c r="N134" s="157" t="str">
        <f t="shared" si="17"/>
        <v/>
      </c>
      <c r="O134" s="157">
        <f t="shared" si="18"/>
        <v>1.24</v>
      </c>
      <c r="P134" s="158" t="str">
        <f t="shared" si="19"/>
        <v/>
      </c>
      <c r="Q134" s="157" t="str">
        <f t="shared" si="20"/>
        <v/>
      </c>
      <c r="R134" s="157" t="str">
        <f t="shared" si="21"/>
        <v/>
      </c>
    </row>
    <row r="135" spans="1:18" ht="14.25" hidden="1" customHeight="1" x14ac:dyDescent="0.25">
      <c r="A135" s="273" t="s">
        <v>31</v>
      </c>
      <c r="B135" s="265" t="s">
        <v>496</v>
      </c>
      <c r="C135" s="273" t="str">
        <f>VLOOKUP(B135,INSUMOS!$A:$I,2,FALSE)</f>
        <v>ORSE</v>
      </c>
      <c r="D135" s="273" t="str">
        <f>VLOOKUP(B135,INSUMOS!$A:$I,3,FALSE)</f>
        <v>Arruela de pressão em aço inox 1/4"</v>
      </c>
      <c r="E135" s="361" t="str">
        <f>VLOOKUP(B135,INSUMOS!$A:$I,4,FALSE)</f>
        <v>Material</v>
      </c>
      <c r="F135" s="361"/>
      <c r="G135" s="264" t="str">
        <f>VLOOKUP(B135,INSUMOS!$A:$I,5,FALSE)</f>
        <v>un</v>
      </c>
      <c r="H135" s="267">
        <v>2</v>
      </c>
      <c r="I135" s="266">
        <f>VLOOKUP(B135,INSUMOS!$A:$I,8,FALSE)</f>
        <v>0.25</v>
      </c>
      <c r="J135" s="266">
        <f t="shared" si="24"/>
        <v>0.5</v>
      </c>
      <c r="K135" s="172"/>
      <c r="L135" s="145">
        <f t="shared" si="15"/>
        <v>14</v>
      </c>
      <c r="M135" s="156">
        <f t="shared" si="16"/>
        <v>0.5</v>
      </c>
      <c r="N135" s="157" t="str">
        <f t="shared" si="17"/>
        <v/>
      </c>
      <c r="O135" s="157">
        <f t="shared" si="18"/>
        <v>0.5</v>
      </c>
      <c r="P135" s="158" t="str">
        <f t="shared" si="19"/>
        <v/>
      </c>
      <c r="Q135" s="157" t="str">
        <f t="shared" si="20"/>
        <v/>
      </c>
      <c r="R135" s="157" t="str">
        <f t="shared" si="21"/>
        <v/>
      </c>
    </row>
    <row r="136" spans="1:18" ht="14.25" hidden="1" customHeight="1" x14ac:dyDescent="0.25">
      <c r="A136" s="273" t="s">
        <v>31</v>
      </c>
      <c r="B136" s="265" t="s">
        <v>460</v>
      </c>
      <c r="C136" s="273" t="str">
        <f>VLOOKUP(B136,INSUMOS!$A:$I,2,FALSE)</f>
        <v>ORSE</v>
      </c>
      <c r="D136" s="273" t="str">
        <f>VLOOKUP(B136,INSUMOS!$A:$I,3,FALSE)</f>
        <v>Arruela lisa em aço inox 1/4"</v>
      </c>
      <c r="E136" s="361" t="str">
        <f>VLOOKUP(B136,INSUMOS!$A:$I,4,FALSE)</f>
        <v>Material</v>
      </c>
      <c r="F136" s="361"/>
      <c r="G136" s="264" t="str">
        <f>VLOOKUP(B136,INSUMOS!$A:$I,5,FALSE)</f>
        <v>un</v>
      </c>
      <c r="H136" s="267">
        <v>4</v>
      </c>
      <c r="I136" s="266">
        <f>VLOOKUP(B136,INSUMOS!$A:$I,8,FALSE)</f>
        <v>0.3</v>
      </c>
      <c r="J136" s="266">
        <f t="shared" si="24"/>
        <v>1.2</v>
      </c>
      <c r="K136" s="172"/>
      <c r="L136" s="145">
        <f t="shared" si="15"/>
        <v>14</v>
      </c>
      <c r="M136" s="156">
        <f t="shared" si="16"/>
        <v>1.2</v>
      </c>
      <c r="N136" s="157" t="str">
        <f t="shared" si="17"/>
        <v/>
      </c>
      <c r="O136" s="157">
        <f t="shared" si="18"/>
        <v>1.2</v>
      </c>
      <c r="P136" s="158" t="str">
        <f t="shared" si="19"/>
        <v/>
      </c>
      <c r="Q136" s="157" t="str">
        <f t="shared" si="20"/>
        <v/>
      </c>
      <c r="R136" s="157" t="str">
        <f t="shared" si="21"/>
        <v/>
      </c>
    </row>
    <row r="137" spans="1:18" ht="15" hidden="1" customHeight="1" x14ac:dyDescent="0.25">
      <c r="A137" s="273" t="s">
        <v>31</v>
      </c>
      <c r="B137" s="265" t="s">
        <v>502</v>
      </c>
      <c r="C137" s="273" t="str">
        <f>VLOOKUP(B137,INSUMOS!$A:$I,2,FALSE)</f>
        <v>ORSE</v>
      </c>
      <c r="D137" s="273" t="str">
        <f>VLOOKUP(B137,INSUMOS!$A:$I,3,FALSE)</f>
        <v>Porca em aço inox sextavada 1/4"</v>
      </c>
      <c r="E137" s="361" t="str">
        <f>VLOOKUP(B137,INSUMOS!$A:$I,4,FALSE)</f>
        <v>Material</v>
      </c>
      <c r="F137" s="361"/>
      <c r="G137" s="264" t="str">
        <f>VLOOKUP(B137,INSUMOS!$A:$I,5,FALSE)</f>
        <v>un</v>
      </c>
      <c r="H137" s="267">
        <v>2</v>
      </c>
      <c r="I137" s="266">
        <f>VLOOKUP(B137,INSUMOS!$A:$I,8,FALSE)</f>
        <v>0.23</v>
      </c>
      <c r="J137" s="266">
        <f t="shared" si="24"/>
        <v>0.46</v>
      </c>
      <c r="K137" s="172"/>
      <c r="L137" s="145">
        <f t="shared" si="15"/>
        <v>14</v>
      </c>
      <c r="M137" s="156">
        <f t="shared" si="16"/>
        <v>0.46</v>
      </c>
      <c r="N137" s="157" t="str">
        <f t="shared" si="17"/>
        <v/>
      </c>
      <c r="O137" s="157">
        <f t="shared" si="18"/>
        <v>0.46</v>
      </c>
      <c r="P137" s="158" t="str">
        <f t="shared" si="19"/>
        <v/>
      </c>
      <c r="Q137" s="157" t="str">
        <f t="shared" si="20"/>
        <v/>
      </c>
      <c r="R137" s="157" t="str">
        <f t="shared" si="21"/>
        <v/>
      </c>
    </row>
    <row r="138" spans="1:18" ht="26.4" hidden="1" x14ac:dyDescent="0.25">
      <c r="A138" s="273" t="s">
        <v>31</v>
      </c>
      <c r="B138" s="265" t="s">
        <v>400</v>
      </c>
      <c r="C138" s="273" t="str">
        <f>VLOOKUP(B138,INSUMOS!$A:$I,2,FALSE)</f>
        <v>SINAPI</v>
      </c>
      <c r="D138" s="273" t="str">
        <f>VLOOKUP(B138,INSUMOS!$A:$I,3,FALSE)</f>
        <v>CABO DE COBRE, FLEXIVEL, CLASSE 4 OU 5, ISOLACAO EM PVC/A, ANTICHAMA BWF-B, 1 CONDUTOR, 450/750 V, SECAO NOMINAL 6 MM2</v>
      </c>
      <c r="E138" s="361" t="str">
        <f>VLOOKUP(B138,INSUMOS!$A:$I,4,FALSE)</f>
        <v>Material</v>
      </c>
      <c r="F138" s="361"/>
      <c r="G138" s="264" t="str">
        <f>VLOOKUP(B138,INSUMOS!$A:$I,5,FALSE)</f>
        <v>M</v>
      </c>
      <c r="H138" s="267">
        <v>1.2</v>
      </c>
      <c r="I138" s="266">
        <f>VLOOKUP(B138,INSUMOS!$A:$I,8,FALSE)</f>
        <v>5.89</v>
      </c>
      <c r="J138" s="266">
        <f t="shared" si="24"/>
        <v>7.06</v>
      </c>
      <c r="K138" s="172"/>
      <c r="L138" s="145">
        <f t="shared" si="15"/>
        <v>14</v>
      </c>
      <c r="M138" s="156">
        <f t="shared" si="16"/>
        <v>7.06</v>
      </c>
      <c r="N138" s="157" t="str">
        <f t="shared" si="17"/>
        <v/>
      </c>
      <c r="O138" s="157">
        <f t="shared" si="18"/>
        <v>7.06</v>
      </c>
      <c r="P138" s="158" t="str">
        <f t="shared" si="19"/>
        <v/>
      </c>
      <c r="Q138" s="157" t="str">
        <f t="shared" si="20"/>
        <v/>
      </c>
      <c r="R138" s="157" t="str">
        <f t="shared" si="21"/>
        <v/>
      </c>
    </row>
    <row r="139" spans="1:18" ht="26.4" hidden="1" x14ac:dyDescent="0.25">
      <c r="A139" s="273" t="s">
        <v>31</v>
      </c>
      <c r="B139" s="265" t="s">
        <v>435</v>
      </c>
      <c r="C139" s="273" t="str">
        <f>VLOOKUP(B139,INSUMOS!$A:$I,2,FALSE)</f>
        <v>SINAPI</v>
      </c>
      <c r="D139" s="273" t="str">
        <f>VLOOKUP(B139,INSUMOS!$A:$I,3,FALSE)</f>
        <v>TERMINAL A COMPRESSAO EM COBRE ESTANHADO PARA CABO 6 MM2, 1 FURO E 1 COMPRESSAO, PARA PARAFUSO DE FIXACAO M6</v>
      </c>
      <c r="E139" s="361" t="str">
        <f>VLOOKUP(B139,INSUMOS!$A:$I,4,FALSE)</f>
        <v>Material</v>
      </c>
      <c r="F139" s="361"/>
      <c r="G139" s="264" t="str">
        <f>VLOOKUP(B139,INSUMOS!$A:$I,5,FALSE)</f>
        <v>UN</v>
      </c>
      <c r="H139" s="267">
        <v>2</v>
      </c>
      <c r="I139" s="266">
        <f>VLOOKUP(B139,INSUMOS!$A:$I,8,FALSE)</f>
        <v>1.37</v>
      </c>
      <c r="J139" s="266">
        <f t="shared" si="24"/>
        <v>2.74</v>
      </c>
      <c r="K139" s="172"/>
      <c r="L139" s="145">
        <f t="shared" si="15"/>
        <v>14</v>
      </c>
      <c r="M139" s="156">
        <f t="shared" si="16"/>
        <v>2.74</v>
      </c>
      <c r="N139" s="157" t="str">
        <f t="shared" si="17"/>
        <v/>
      </c>
      <c r="O139" s="157">
        <f t="shared" si="18"/>
        <v>2.74</v>
      </c>
      <c r="P139" s="158" t="str">
        <f t="shared" si="19"/>
        <v/>
      </c>
      <c r="Q139" s="157" t="str">
        <f t="shared" si="20"/>
        <v/>
      </c>
      <c r="R139" s="157" t="str">
        <f t="shared" si="21"/>
        <v/>
      </c>
    </row>
    <row r="140" spans="1:18" ht="14.25" hidden="1" customHeight="1" x14ac:dyDescent="0.25">
      <c r="A140" s="274"/>
      <c r="B140" s="274"/>
      <c r="C140" s="274"/>
      <c r="D140" s="274"/>
      <c r="E140" s="274"/>
      <c r="F140" s="268"/>
      <c r="G140" s="274"/>
      <c r="H140" s="268"/>
      <c r="I140" s="274"/>
      <c r="J140" s="268"/>
      <c r="K140" s="172"/>
      <c r="L140" s="145">
        <f t="shared" si="15"/>
        <v>14</v>
      </c>
      <c r="M140" s="156" t="str">
        <f t="shared" si="16"/>
        <v/>
      </c>
      <c r="N140" s="157" t="str">
        <f t="shared" si="17"/>
        <v/>
      </c>
      <c r="O140" s="157" t="str">
        <f t="shared" si="18"/>
        <v/>
      </c>
      <c r="P140" s="158" t="str">
        <f t="shared" si="19"/>
        <v/>
      </c>
      <c r="Q140" s="157" t="str">
        <f t="shared" si="20"/>
        <v/>
      </c>
      <c r="R140" s="157" t="str">
        <f t="shared" si="21"/>
        <v/>
      </c>
    </row>
    <row r="141" spans="1:18" ht="38.25" hidden="1" customHeight="1" thickBot="1" x14ac:dyDescent="0.3">
      <c r="A141" s="274"/>
      <c r="B141" s="274"/>
      <c r="C141" s="274"/>
      <c r="D141" s="274"/>
      <c r="E141" s="274"/>
      <c r="F141" s="268"/>
      <c r="G141" s="274"/>
      <c r="H141" s="350"/>
      <c r="I141" s="350"/>
      <c r="J141" s="268"/>
      <c r="K141" s="172"/>
      <c r="L141" s="145">
        <f t="shared" si="15"/>
        <v>14</v>
      </c>
      <c r="M141" s="156" t="str">
        <f t="shared" si="16"/>
        <v/>
      </c>
      <c r="N141" s="157" t="str">
        <f t="shared" si="17"/>
        <v/>
      </c>
      <c r="O141" s="157" t="str">
        <f t="shared" si="18"/>
        <v/>
      </c>
      <c r="P141" s="158" t="str">
        <f t="shared" si="19"/>
        <v/>
      </c>
      <c r="Q141" s="157" t="str">
        <f t="shared" si="20"/>
        <v/>
      </c>
      <c r="R141" s="157" t="str">
        <f t="shared" si="21"/>
        <v/>
      </c>
    </row>
    <row r="142" spans="1:18" ht="14.25" hidden="1" customHeight="1" thickTop="1" x14ac:dyDescent="0.25">
      <c r="A142" s="259"/>
      <c r="B142" s="259"/>
      <c r="C142" s="259"/>
      <c r="D142" s="259"/>
      <c r="E142" s="259"/>
      <c r="F142" s="259"/>
      <c r="G142" s="259"/>
      <c r="H142" s="259"/>
      <c r="I142" s="259"/>
      <c r="J142" s="259"/>
      <c r="K142" s="172"/>
      <c r="L142" s="145">
        <f t="shared" si="15"/>
        <v>15</v>
      </c>
      <c r="M142" s="156" t="str">
        <f t="shared" si="16"/>
        <v/>
      </c>
      <c r="N142" s="157" t="str">
        <f t="shared" si="17"/>
        <v/>
      </c>
      <c r="O142" s="157" t="str">
        <f t="shared" si="18"/>
        <v/>
      </c>
      <c r="P142" s="158" t="str">
        <f t="shared" si="19"/>
        <v/>
      </c>
      <c r="Q142" s="157" t="str">
        <f t="shared" si="20"/>
        <v/>
      </c>
      <c r="R142" s="157" t="str">
        <f t="shared" si="21"/>
        <v/>
      </c>
    </row>
    <row r="143" spans="1:18" ht="38.25" hidden="1" customHeight="1" x14ac:dyDescent="0.25">
      <c r="A143" s="270" t="s">
        <v>687</v>
      </c>
      <c r="B143" s="254" t="s">
        <v>1</v>
      </c>
      <c r="C143" s="270" t="s">
        <v>2</v>
      </c>
      <c r="D143" s="270" t="s">
        <v>3</v>
      </c>
      <c r="E143" s="347" t="s">
        <v>19</v>
      </c>
      <c r="F143" s="347"/>
      <c r="G143" s="253" t="s">
        <v>4</v>
      </c>
      <c r="H143" s="254" t="s">
        <v>5</v>
      </c>
      <c r="I143" s="254" t="s">
        <v>6</v>
      </c>
      <c r="J143" s="254" t="s">
        <v>7</v>
      </c>
      <c r="K143" s="172"/>
      <c r="L143" s="145">
        <f t="shared" si="15"/>
        <v>15</v>
      </c>
      <c r="M143" s="156" t="str">
        <f t="shared" si="16"/>
        <v/>
      </c>
      <c r="N143" s="157" t="str">
        <f t="shared" si="17"/>
        <v/>
      </c>
      <c r="O143" s="157" t="str">
        <f t="shared" si="18"/>
        <v/>
      </c>
      <c r="P143" s="158" t="str">
        <f t="shared" si="19"/>
        <v/>
      </c>
      <c r="Q143" s="157" t="str">
        <f t="shared" si="20"/>
        <v/>
      </c>
      <c r="R143" s="157" t="str">
        <f t="shared" si="21"/>
        <v/>
      </c>
    </row>
    <row r="144" spans="1:18" ht="38.25" hidden="1" customHeight="1" x14ac:dyDescent="0.25">
      <c r="A144" s="271" t="s">
        <v>20</v>
      </c>
      <c r="B144" s="256" t="s">
        <v>688</v>
      </c>
      <c r="C144" s="271" t="s">
        <v>13</v>
      </c>
      <c r="D144" s="271" t="s">
        <v>689</v>
      </c>
      <c r="E144" s="362" t="s">
        <v>315</v>
      </c>
      <c r="F144" s="362"/>
      <c r="G144" s="255" t="s">
        <v>690</v>
      </c>
      <c r="H144" s="258">
        <v>1</v>
      </c>
      <c r="I144" s="257">
        <f>SUMIF(L:L,$L144,M:M)</f>
        <v>17.32</v>
      </c>
      <c r="J144" s="257">
        <f>TRUNC(H144*I144,2)</f>
        <v>17.32</v>
      </c>
      <c r="K144" s="172"/>
      <c r="L144" s="145">
        <f t="shared" si="15"/>
        <v>15</v>
      </c>
      <c r="M144" s="156" t="str">
        <f t="shared" si="16"/>
        <v/>
      </c>
      <c r="N144" s="157" t="str">
        <f t="shared" si="17"/>
        <v/>
      </c>
      <c r="O144" s="157" t="str">
        <f t="shared" si="18"/>
        <v/>
      </c>
      <c r="P144" s="158" t="str">
        <f t="shared" si="19"/>
        <v xml:space="preserve"> S-ELE-SFCR-PGR-09 </v>
      </c>
      <c r="Q144" s="157">
        <f t="shared" si="20"/>
        <v>0</v>
      </c>
      <c r="R144" s="157">
        <f t="shared" si="21"/>
        <v>17.32</v>
      </c>
    </row>
    <row r="145" spans="1:18" ht="14.25" hidden="1" customHeight="1" x14ac:dyDescent="0.25">
      <c r="A145" s="272" t="s">
        <v>22</v>
      </c>
      <c r="B145" s="261" t="s">
        <v>313</v>
      </c>
      <c r="C145" s="272" t="s">
        <v>10</v>
      </c>
      <c r="D145" s="272" t="s">
        <v>314</v>
      </c>
      <c r="E145" s="363" t="s">
        <v>27</v>
      </c>
      <c r="F145" s="363"/>
      <c r="G145" s="260" t="s">
        <v>28</v>
      </c>
      <c r="H145" s="263">
        <v>9.5699999999999993E-2</v>
      </c>
      <c r="I145" s="262">
        <f>SUMIFS(J:J,A:A,"Composição",B:B,$B145)</f>
        <v>24.1</v>
      </c>
      <c r="J145" s="262">
        <f>TRUNC(H145*I145,2)</f>
        <v>2.2999999999999998</v>
      </c>
      <c r="K145" s="172"/>
      <c r="L145" s="145">
        <f t="shared" ref="L145:L208" si="25">IF(AND(A146&lt;&gt;"",A145=""),L144+1,L144)</f>
        <v>15</v>
      </c>
      <c r="M145" s="156">
        <f t="shared" ref="M145:M208" si="26">IF(OR(A145="Insumo",A145="Composição Auxiliar"),J145,"")</f>
        <v>2.2999999999999998</v>
      </c>
      <c r="N145" s="157" t="str">
        <f t="shared" ref="N145:N208" si="27">IF(E145="Mão de Obra",J145,"")</f>
        <v/>
      </c>
      <c r="O145" s="157">
        <f t="shared" ref="O145:O208" si="28">IF(N145&lt;&gt;"","",M145)</f>
        <v>2.2999999999999998</v>
      </c>
      <c r="P145" s="158" t="str">
        <f t="shared" ref="P145:P208" si="29">IF(A145="Composição",B145,"")</f>
        <v/>
      </c>
      <c r="Q145" s="157" t="str">
        <f t="shared" ref="Q145:Q208" si="30">IF(P145&lt;&gt;"",SUMIF(L145:L245,L145,N145:N245),"")</f>
        <v/>
      </c>
      <c r="R145" s="157" t="str">
        <f t="shared" ref="R145:R208" si="31">IF(P145&lt;&gt;"",SUMIF(L145:L245,L145,O145:O245),"")</f>
        <v/>
      </c>
    </row>
    <row r="146" spans="1:18" ht="14.25" hidden="1" customHeight="1" x14ac:dyDescent="0.25">
      <c r="A146" s="272" t="s">
        <v>22</v>
      </c>
      <c r="B146" s="261" t="s">
        <v>298</v>
      </c>
      <c r="C146" s="272" t="s">
        <v>10</v>
      </c>
      <c r="D146" s="272" t="s">
        <v>299</v>
      </c>
      <c r="E146" s="363" t="s">
        <v>27</v>
      </c>
      <c r="F146" s="363"/>
      <c r="G146" s="260" t="s">
        <v>28</v>
      </c>
      <c r="H146" s="263">
        <v>9.5699999999999993E-2</v>
      </c>
      <c r="I146" s="262">
        <f>SUMIFS(J:J,A:A,"Composição",B:B,$B146)</f>
        <v>18.739999999999998</v>
      </c>
      <c r="J146" s="262">
        <f>TRUNC(H146*I146,2)</f>
        <v>1.79</v>
      </c>
      <c r="K146" s="172"/>
      <c r="L146" s="145">
        <f t="shared" si="25"/>
        <v>15</v>
      </c>
      <c r="M146" s="156">
        <f t="shared" si="26"/>
        <v>1.79</v>
      </c>
      <c r="N146" s="157" t="str">
        <f t="shared" si="27"/>
        <v/>
      </c>
      <c r="O146" s="157">
        <f t="shared" si="28"/>
        <v>1.79</v>
      </c>
      <c r="P146" s="158" t="str">
        <f t="shared" si="29"/>
        <v/>
      </c>
      <c r="Q146" s="157" t="str">
        <f t="shared" si="30"/>
        <v/>
      </c>
      <c r="R146" s="157" t="str">
        <f t="shared" si="31"/>
        <v/>
      </c>
    </row>
    <row r="147" spans="1:18" ht="25.5" hidden="1" customHeight="1" x14ac:dyDescent="0.25">
      <c r="A147" s="273" t="s">
        <v>31</v>
      </c>
      <c r="B147" s="265" t="s">
        <v>412</v>
      </c>
      <c r="C147" s="273" t="str">
        <f>VLOOKUP(B147,INSUMOS!$A:$I,2,FALSE)</f>
        <v>SINAPI</v>
      </c>
      <c r="D147" s="273" t="str">
        <f>VLOOKUP(B147,INSUMOS!$A:$I,3,FALSE)</f>
        <v>CABO DE COBRE NU 16 MM2 MEIO-DURO</v>
      </c>
      <c r="E147" s="361" t="str">
        <f>VLOOKUP(B147,INSUMOS!$A:$I,4,FALSE)</f>
        <v>Material</v>
      </c>
      <c r="F147" s="361"/>
      <c r="G147" s="264" t="str">
        <f>VLOOKUP(B147,INSUMOS!$A:$I,5,FALSE)</f>
        <v>M</v>
      </c>
      <c r="H147" s="267">
        <v>1.05</v>
      </c>
      <c r="I147" s="266">
        <f>VLOOKUP(B147,INSUMOS!$A:$I,8,FALSE)</f>
        <v>12.6</v>
      </c>
      <c r="J147" s="266">
        <f>TRUNC(H147*I147,2)</f>
        <v>13.23</v>
      </c>
      <c r="K147" s="172"/>
      <c r="L147" s="145">
        <f t="shared" si="25"/>
        <v>15</v>
      </c>
      <c r="M147" s="156">
        <f t="shared" si="26"/>
        <v>13.23</v>
      </c>
      <c r="N147" s="157" t="str">
        <f t="shared" si="27"/>
        <v/>
      </c>
      <c r="O147" s="157">
        <f t="shared" si="28"/>
        <v>13.23</v>
      </c>
      <c r="P147" s="158" t="str">
        <f t="shared" si="29"/>
        <v/>
      </c>
      <c r="Q147" s="157" t="str">
        <f t="shared" si="30"/>
        <v/>
      </c>
      <c r="R147" s="157" t="str">
        <f t="shared" si="31"/>
        <v/>
      </c>
    </row>
    <row r="148" spans="1:18" ht="15" hidden="1" customHeight="1" x14ac:dyDescent="0.25">
      <c r="A148" s="274"/>
      <c r="B148" s="274"/>
      <c r="C148" s="274"/>
      <c r="D148" s="274"/>
      <c r="E148" s="274"/>
      <c r="F148" s="268"/>
      <c r="G148" s="274"/>
      <c r="H148" s="268"/>
      <c r="I148" s="274"/>
      <c r="J148" s="268"/>
      <c r="K148" s="172"/>
      <c r="L148" s="145">
        <f t="shared" si="25"/>
        <v>15</v>
      </c>
      <c r="M148" s="156" t="str">
        <f t="shared" si="26"/>
        <v/>
      </c>
      <c r="N148" s="157" t="str">
        <f t="shared" si="27"/>
        <v/>
      </c>
      <c r="O148" s="157" t="str">
        <f t="shared" si="28"/>
        <v/>
      </c>
      <c r="P148" s="158" t="str">
        <f t="shared" si="29"/>
        <v/>
      </c>
      <c r="Q148" s="157" t="str">
        <f t="shared" si="30"/>
        <v/>
      </c>
      <c r="R148" s="157" t="str">
        <f t="shared" si="31"/>
        <v/>
      </c>
    </row>
    <row r="149" spans="1:18" ht="14.25" hidden="1" customHeight="1" thickBot="1" x14ac:dyDescent="0.3">
      <c r="A149" s="274"/>
      <c r="B149" s="274"/>
      <c r="C149" s="274"/>
      <c r="D149" s="274"/>
      <c r="E149" s="274"/>
      <c r="F149" s="268"/>
      <c r="G149" s="274"/>
      <c r="H149" s="350"/>
      <c r="I149" s="350"/>
      <c r="J149" s="268"/>
      <c r="K149" s="172"/>
      <c r="L149" s="145">
        <f t="shared" si="25"/>
        <v>15</v>
      </c>
      <c r="M149" s="156" t="str">
        <f t="shared" si="26"/>
        <v/>
      </c>
      <c r="N149" s="157" t="str">
        <f t="shared" si="27"/>
        <v/>
      </c>
      <c r="O149" s="157" t="str">
        <f t="shared" si="28"/>
        <v/>
      </c>
      <c r="P149" s="158" t="str">
        <f t="shared" si="29"/>
        <v/>
      </c>
      <c r="Q149" s="157" t="str">
        <f t="shared" si="30"/>
        <v/>
      </c>
      <c r="R149" s="157" t="str">
        <f t="shared" si="31"/>
        <v/>
      </c>
    </row>
    <row r="150" spans="1:18" ht="15" hidden="1" customHeight="1" thickTop="1" x14ac:dyDescent="0.2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172"/>
      <c r="L150" s="145">
        <f t="shared" si="25"/>
        <v>16</v>
      </c>
      <c r="M150" s="156" t="str">
        <f t="shared" si="26"/>
        <v/>
      </c>
      <c r="N150" s="157" t="str">
        <f t="shared" si="27"/>
        <v/>
      </c>
      <c r="O150" s="157" t="str">
        <f t="shared" si="28"/>
        <v/>
      </c>
      <c r="P150" s="158" t="str">
        <f t="shared" si="29"/>
        <v/>
      </c>
      <c r="Q150" s="157" t="str">
        <f t="shared" si="30"/>
        <v/>
      </c>
      <c r="R150" s="157" t="str">
        <f t="shared" si="31"/>
        <v/>
      </c>
    </row>
    <row r="151" spans="1:18" ht="26.4" hidden="1" customHeight="1" x14ac:dyDescent="0.25">
      <c r="A151" s="270" t="s">
        <v>691</v>
      </c>
      <c r="B151" s="254" t="s">
        <v>1</v>
      </c>
      <c r="C151" s="270" t="s">
        <v>2</v>
      </c>
      <c r="D151" s="270" t="s">
        <v>3</v>
      </c>
      <c r="E151" s="347" t="s">
        <v>19</v>
      </c>
      <c r="F151" s="347"/>
      <c r="G151" s="253" t="s">
        <v>4</v>
      </c>
      <c r="H151" s="254" t="s">
        <v>5</v>
      </c>
      <c r="I151" s="254" t="s">
        <v>6</v>
      </c>
      <c r="J151" s="254" t="s">
        <v>7</v>
      </c>
      <c r="K151" s="172"/>
      <c r="L151" s="145">
        <f t="shared" si="25"/>
        <v>16</v>
      </c>
      <c r="M151" s="156" t="str">
        <f t="shared" si="26"/>
        <v/>
      </c>
      <c r="N151" s="157" t="str">
        <f t="shared" si="27"/>
        <v/>
      </c>
      <c r="O151" s="157" t="str">
        <f t="shared" si="28"/>
        <v/>
      </c>
      <c r="P151" s="158" t="str">
        <f t="shared" si="29"/>
        <v/>
      </c>
      <c r="Q151" s="157" t="str">
        <f t="shared" si="30"/>
        <v/>
      </c>
      <c r="R151" s="157" t="str">
        <f t="shared" si="31"/>
        <v/>
      </c>
    </row>
    <row r="152" spans="1:18" ht="26.4" hidden="1" x14ac:dyDescent="0.25">
      <c r="A152" s="271" t="s">
        <v>20</v>
      </c>
      <c r="B152" s="256" t="s">
        <v>692</v>
      </c>
      <c r="C152" s="271" t="s">
        <v>13</v>
      </c>
      <c r="D152" s="271" t="s">
        <v>693</v>
      </c>
      <c r="E152" s="362" t="s">
        <v>315</v>
      </c>
      <c r="F152" s="362"/>
      <c r="G152" s="255" t="s">
        <v>375</v>
      </c>
      <c r="H152" s="258">
        <v>1</v>
      </c>
      <c r="I152" s="257">
        <f>SUMIF(L:L,$L152,M:M)</f>
        <v>7619.7699999999995</v>
      </c>
      <c r="J152" s="257">
        <f t="shared" ref="J152:J165" si="32">TRUNC(H152*I152,2)</f>
        <v>7619.77</v>
      </c>
      <c r="K152" s="172"/>
      <c r="L152" s="145">
        <f t="shared" si="25"/>
        <v>16</v>
      </c>
      <c r="M152" s="156" t="str">
        <f t="shared" si="26"/>
        <v/>
      </c>
      <c r="N152" s="157" t="str">
        <f t="shared" si="27"/>
        <v/>
      </c>
      <c r="O152" s="157" t="str">
        <f t="shared" si="28"/>
        <v/>
      </c>
      <c r="P152" s="158" t="str">
        <f t="shared" si="29"/>
        <v xml:space="preserve"> S-ELE-SFCR-PGR-22 </v>
      </c>
      <c r="Q152" s="157">
        <f t="shared" si="30"/>
        <v>0</v>
      </c>
      <c r="R152" s="157">
        <f t="shared" si="31"/>
        <v>7619.7699999999995</v>
      </c>
    </row>
    <row r="153" spans="1:18" ht="14.25" hidden="1" customHeight="1" x14ac:dyDescent="0.25">
      <c r="A153" s="272" t="s">
        <v>22</v>
      </c>
      <c r="B153" s="261" t="s">
        <v>694</v>
      </c>
      <c r="C153" s="272" t="s">
        <v>10</v>
      </c>
      <c r="D153" s="272" t="s">
        <v>695</v>
      </c>
      <c r="E153" s="363" t="s">
        <v>27</v>
      </c>
      <c r="F153" s="363"/>
      <c r="G153" s="260" t="s">
        <v>28</v>
      </c>
      <c r="H153" s="263">
        <v>6</v>
      </c>
      <c r="I153" s="262">
        <f>SUMIFS(J:J,A:A,"Composição",B:B,$B153)</f>
        <v>32.51</v>
      </c>
      <c r="J153" s="262">
        <f t="shared" si="32"/>
        <v>195.06</v>
      </c>
      <c r="K153" s="172"/>
      <c r="L153" s="145">
        <f t="shared" si="25"/>
        <v>16</v>
      </c>
      <c r="M153" s="156">
        <f t="shared" si="26"/>
        <v>195.06</v>
      </c>
      <c r="N153" s="157" t="str">
        <f t="shared" si="27"/>
        <v/>
      </c>
      <c r="O153" s="157">
        <f t="shared" si="28"/>
        <v>195.06</v>
      </c>
      <c r="P153" s="158" t="str">
        <f t="shared" si="29"/>
        <v/>
      </c>
      <c r="Q153" s="157" t="str">
        <f t="shared" si="30"/>
        <v/>
      </c>
      <c r="R153" s="157" t="str">
        <f t="shared" si="31"/>
        <v/>
      </c>
    </row>
    <row r="154" spans="1:18" ht="38.25" hidden="1" customHeight="1" x14ac:dyDescent="0.25">
      <c r="A154" s="272" t="s">
        <v>22</v>
      </c>
      <c r="B154" s="261" t="s">
        <v>696</v>
      </c>
      <c r="C154" s="272" t="s">
        <v>10</v>
      </c>
      <c r="D154" s="272" t="s">
        <v>697</v>
      </c>
      <c r="E154" s="363" t="s">
        <v>315</v>
      </c>
      <c r="F154" s="363"/>
      <c r="G154" s="260" t="s">
        <v>16</v>
      </c>
      <c r="H154" s="263">
        <v>40</v>
      </c>
      <c r="I154" s="262">
        <f>SUMIFS(J:J,A:A,"Composição",B:B,$B154)</f>
        <v>28.77</v>
      </c>
      <c r="J154" s="262">
        <f t="shared" si="32"/>
        <v>1150.8</v>
      </c>
      <c r="K154" s="172"/>
      <c r="L154" s="145">
        <f t="shared" si="25"/>
        <v>16</v>
      </c>
      <c r="M154" s="156">
        <f t="shared" si="26"/>
        <v>1150.8</v>
      </c>
      <c r="N154" s="157" t="str">
        <f t="shared" si="27"/>
        <v/>
      </c>
      <c r="O154" s="157">
        <f t="shared" si="28"/>
        <v>1150.8</v>
      </c>
      <c r="P154" s="158" t="str">
        <f t="shared" si="29"/>
        <v/>
      </c>
      <c r="Q154" s="157" t="str">
        <f t="shared" si="30"/>
        <v/>
      </c>
      <c r="R154" s="157" t="str">
        <f t="shared" si="31"/>
        <v/>
      </c>
    </row>
    <row r="155" spans="1:18" ht="38.25" hidden="1" customHeight="1" x14ac:dyDescent="0.25">
      <c r="A155" s="272" t="s">
        <v>22</v>
      </c>
      <c r="B155" s="261" t="s">
        <v>698</v>
      </c>
      <c r="C155" s="272" t="s">
        <v>10</v>
      </c>
      <c r="D155" s="272" t="s">
        <v>699</v>
      </c>
      <c r="E155" s="363" t="s">
        <v>315</v>
      </c>
      <c r="F155" s="363"/>
      <c r="G155" s="260" t="s">
        <v>16</v>
      </c>
      <c r="H155" s="263">
        <v>10</v>
      </c>
      <c r="I155" s="262">
        <f>SUMIFS(J:J,A:A,"Composição",B:B,$B155)</f>
        <v>17.86</v>
      </c>
      <c r="J155" s="262">
        <f t="shared" si="32"/>
        <v>178.6</v>
      </c>
      <c r="K155" s="172"/>
      <c r="L155" s="145">
        <f t="shared" si="25"/>
        <v>16</v>
      </c>
      <c r="M155" s="156">
        <f t="shared" si="26"/>
        <v>178.6</v>
      </c>
      <c r="N155" s="157" t="str">
        <f t="shared" si="27"/>
        <v/>
      </c>
      <c r="O155" s="157">
        <f t="shared" si="28"/>
        <v>178.6</v>
      </c>
      <c r="P155" s="158" t="str">
        <f t="shared" si="29"/>
        <v/>
      </c>
      <c r="Q155" s="157" t="str">
        <f t="shared" si="30"/>
        <v/>
      </c>
      <c r="R155" s="157" t="str">
        <f t="shared" si="31"/>
        <v/>
      </c>
    </row>
    <row r="156" spans="1:18" ht="38.25" hidden="1" customHeight="1" x14ac:dyDescent="0.25">
      <c r="A156" s="273" t="s">
        <v>31</v>
      </c>
      <c r="B156" s="265" t="s">
        <v>392</v>
      </c>
      <c r="C156" s="273" t="str">
        <f>VLOOKUP(B156,INSUMOS!$A:$I,2,FALSE)</f>
        <v>SINAPI</v>
      </c>
      <c r="D156" s="273" t="str">
        <f>VLOOKUP(B156,INSUMOS!$A:$I,3,FALSE)</f>
        <v>DISJUNTOR TERMICO E MAGNETICO AJUSTAVEIS, TRIPOLAR DE 100 ATE 250A, CAPACIDADE DE INTERRUPCAO DE 35KA</v>
      </c>
      <c r="E156" s="361" t="str">
        <f>VLOOKUP(B156,INSUMOS!$A:$I,4,FALSE)</f>
        <v>Material</v>
      </c>
      <c r="F156" s="361"/>
      <c r="G156" s="264" t="str">
        <f>VLOOKUP(B156,INSUMOS!$A:$I,5,FALSE)</f>
        <v>UN</v>
      </c>
      <c r="H156" s="267">
        <v>2</v>
      </c>
      <c r="I156" s="266">
        <f>VLOOKUP(B156,INSUMOS!$A:$I,8,FALSE)</f>
        <v>1296.8699999999999</v>
      </c>
      <c r="J156" s="266">
        <f t="shared" si="32"/>
        <v>2593.7399999999998</v>
      </c>
      <c r="K156" s="172"/>
      <c r="L156" s="145">
        <f t="shared" si="25"/>
        <v>16</v>
      </c>
      <c r="M156" s="156">
        <f t="shared" si="26"/>
        <v>2593.7399999999998</v>
      </c>
      <c r="N156" s="157" t="str">
        <f t="shared" si="27"/>
        <v/>
      </c>
      <c r="O156" s="157">
        <f t="shared" si="28"/>
        <v>2593.7399999999998</v>
      </c>
      <c r="P156" s="158" t="str">
        <f t="shared" si="29"/>
        <v/>
      </c>
      <c r="Q156" s="157" t="str">
        <f t="shared" si="30"/>
        <v/>
      </c>
      <c r="R156" s="157" t="str">
        <f t="shared" si="31"/>
        <v/>
      </c>
    </row>
    <row r="157" spans="1:18" ht="25.5" hidden="1" customHeight="1" x14ac:dyDescent="0.25">
      <c r="A157" s="273" t="s">
        <v>31</v>
      </c>
      <c r="B157" s="265" t="s">
        <v>408</v>
      </c>
      <c r="C157" s="273" t="str">
        <f>VLOOKUP(B157,INSUMOS!$A:$I,2,FALSE)</f>
        <v>SINAPI</v>
      </c>
      <c r="D157" s="273" t="str">
        <f>VLOOKUP(B157,INSUMOS!$A:$I,3,FALSE)</f>
        <v>QUADRO DE DISTRIBUICAO COM BARRAMENTO TRIFASICO, DE EMBUTIR, EM CHAPA DE ACO GALVANIZADO, PARA 30 DISJUNTORES DIN, 225 A</v>
      </c>
      <c r="E157" s="361" t="str">
        <f>VLOOKUP(B157,INSUMOS!$A:$I,4,FALSE)</f>
        <v>Material</v>
      </c>
      <c r="F157" s="361"/>
      <c r="G157" s="264" t="str">
        <f>VLOOKUP(B157,INSUMOS!$A:$I,5,FALSE)</f>
        <v>UN</v>
      </c>
      <c r="H157" s="267">
        <v>1</v>
      </c>
      <c r="I157" s="266">
        <f>VLOOKUP(B157,INSUMOS!$A:$I,8,FALSE)</f>
        <v>1550.87</v>
      </c>
      <c r="J157" s="266">
        <f t="shared" si="32"/>
        <v>1550.87</v>
      </c>
      <c r="K157" s="172"/>
      <c r="L157" s="145">
        <f t="shared" si="25"/>
        <v>16</v>
      </c>
      <c r="M157" s="156">
        <f t="shared" si="26"/>
        <v>1550.87</v>
      </c>
      <c r="N157" s="157" t="str">
        <f t="shared" si="27"/>
        <v/>
      </c>
      <c r="O157" s="157">
        <f t="shared" si="28"/>
        <v>1550.87</v>
      </c>
      <c r="P157" s="158" t="str">
        <f t="shared" si="29"/>
        <v/>
      </c>
      <c r="Q157" s="157" t="str">
        <f t="shared" si="30"/>
        <v/>
      </c>
      <c r="R157" s="157" t="str">
        <f t="shared" si="31"/>
        <v/>
      </c>
    </row>
    <row r="158" spans="1:18" ht="38.25" hidden="1" customHeight="1" x14ac:dyDescent="0.25">
      <c r="A158" s="273" t="s">
        <v>31</v>
      </c>
      <c r="B158" s="265" t="s">
        <v>443</v>
      </c>
      <c r="C158" s="273" t="str">
        <f>VLOOKUP(B158,INSUMOS!$A:$I,2,FALSE)</f>
        <v>SINAPI</v>
      </c>
      <c r="D158" s="273" t="str">
        <f>VLOOKUP(B158,INSUMOS!$A:$I,3,FALSE)</f>
        <v>DISPOSITIVO DPS CLASSE II, 1 POLO, TENSAO MAXIMA DE 275 V, CORRENTE MAXIMA DE *45* KA (TIPO AC)</v>
      </c>
      <c r="E158" s="361" t="str">
        <f>VLOOKUP(B158,INSUMOS!$A:$I,4,FALSE)</f>
        <v>Material</v>
      </c>
      <c r="F158" s="361"/>
      <c r="G158" s="264" t="str">
        <f>VLOOKUP(B158,INSUMOS!$A:$I,5,FALSE)</f>
        <v>UN</v>
      </c>
      <c r="H158" s="267">
        <v>4</v>
      </c>
      <c r="I158" s="266">
        <f>VLOOKUP(B158,INSUMOS!$A:$I,8,FALSE)</f>
        <v>114.66</v>
      </c>
      <c r="J158" s="266">
        <f t="shared" si="32"/>
        <v>458.64</v>
      </c>
      <c r="K158" s="172"/>
      <c r="L158" s="145">
        <f t="shared" si="25"/>
        <v>16</v>
      </c>
      <c r="M158" s="156">
        <f t="shared" si="26"/>
        <v>458.64</v>
      </c>
      <c r="N158" s="157" t="str">
        <f t="shared" si="27"/>
        <v/>
      </c>
      <c r="O158" s="157">
        <f t="shared" si="28"/>
        <v>458.64</v>
      </c>
      <c r="P158" s="158" t="str">
        <f t="shared" si="29"/>
        <v/>
      </c>
      <c r="Q158" s="157" t="str">
        <f t="shared" si="30"/>
        <v/>
      </c>
      <c r="R158" s="157" t="str">
        <f t="shared" si="31"/>
        <v/>
      </c>
    </row>
    <row r="159" spans="1:18" hidden="1" x14ac:dyDescent="0.25">
      <c r="A159" s="273" t="s">
        <v>31</v>
      </c>
      <c r="B159" s="265" t="s">
        <v>534</v>
      </c>
      <c r="C159" s="273" t="str">
        <f>VLOOKUP(B159,INSUMOS!$A:$I,2,FALSE)</f>
        <v>SINAPI</v>
      </c>
      <c r="D159" s="273" t="str">
        <f>VLOOKUP(B159,INSUMOS!$A:$I,3,FALSE)</f>
        <v>DISJUNTOR TIPO DIN/IEC, MONOPOLAR DE 6  ATE  32A</v>
      </c>
      <c r="E159" s="361" t="str">
        <f>VLOOKUP(B159,INSUMOS!$A:$I,4,FALSE)</f>
        <v>Material</v>
      </c>
      <c r="F159" s="361"/>
      <c r="G159" s="264" t="str">
        <f>VLOOKUP(B159,INSUMOS!$A:$I,5,FALSE)</f>
        <v>UN</v>
      </c>
      <c r="H159" s="267">
        <v>4</v>
      </c>
      <c r="I159" s="266">
        <f>VLOOKUP(B159,INSUMOS!$A:$I,8,FALSE)</f>
        <v>9.9600000000000009</v>
      </c>
      <c r="J159" s="266">
        <f t="shared" si="32"/>
        <v>39.840000000000003</v>
      </c>
      <c r="K159" s="172"/>
      <c r="L159" s="145">
        <f t="shared" si="25"/>
        <v>16</v>
      </c>
      <c r="M159" s="156">
        <f t="shared" si="26"/>
        <v>39.840000000000003</v>
      </c>
      <c r="N159" s="157" t="str">
        <f t="shared" si="27"/>
        <v/>
      </c>
      <c r="O159" s="157">
        <f t="shared" si="28"/>
        <v>39.840000000000003</v>
      </c>
      <c r="P159" s="158" t="str">
        <f t="shared" si="29"/>
        <v/>
      </c>
      <c r="Q159" s="157" t="str">
        <f t="shared" si="30"/>
        <v/>
      </c>
      <c r="R159" s="157" t="str">
        <f t="shared" si="31"/>
        <v/>
      </c>
    </row>
    <row r="160" spans="1:18" ht="26.4" hidden="1" customHeight="1" x14ac:dyDescent="0.25">
      <c r="A160" s="273" t="s">
        <v>31</v>
      </c>
      <c r="B160" s="265" t="s">
        <v>480</v>
      </c>
      <c r="C160" s="273" t="str">
        <f>VLOOKUP(B160,INSUMOS!$A:$I,2,FALSE)</f>
        <v>SINAPI</v>
      </c>
      <c r="D160" s="273" t="str">
        <f>VLOOKUP(B160,INSUMOS!$A:$I,3,FALSE)</f>
        <v>DISJUNTOR TIPO DIN/IEC, TRIPOLAR 63 A</v>
      </c>
      <c r="E160" s="361" t="str">
        <f>VLOOKUP(B160,INSUMOS!$A:$I,4,FALSE)</f>
        <v>Material</v>
      </c>
      <c r="F160" s="361"/>
      <c r="G160" s="264" t="str">
        <f>VLOOKUP(B160,INSUMOS!$A:$I,5,FALSE)</f>
        <v>UN</v>
      </c>
      <c r="H160" s="267">
        <v>2</v>
      </c>
      <c r="I160" s="266">
        <f>VLOOKUP(B160,INSUMOS!$A:$I,8,FALSE)</f>
        <v>83.54</v>
      </c>
      <c r="J160" s="266">
        <f t="shared" si="32"/>
        <v>167.08</v>
      </c>
      <c r="K160" s="172"/>
      <c r="L160" s="145">
        <f t="shared" si="25"/>
        <v>16</v>
      </c>
      <c r="M160" s="156">
        <f t="shared" si="26"/>
        <v>167.08</v>
      </c>
      <c r="N160" s="157" t="str">
        <f t="shared" si="27"/>
        <v/>
      </c>
      <c r="O160" s="157">
        <f t="shared" si="28"/>
        <v>167.08</v>
      </c>
      <c r="P160" s="158" t="str">
        <f t="shared" si="29"/>
        <v/>
      </c>
      <c r="Q160" s="157" t="str">
        <f t="shared" si="30"/>
        <v/>
      </c>
      <c r="R160" s="157" t="str">
        <f t="shared" si="31"/>
        <v/>
      </c>
    </row>
    <row r="161" spans="1:18" ht="26.4" hidden="1" customHeight="1" x14ac:dyDescent="0.25">
      <c r="A161" s="273" t="s">
        <v>31</v>
      </c>
      <c r="B161" s="265" t="s">
        <v>422</v>
      </c>
      <c r="C161" s="273" t="str">
        <f>VLOOKUP(B161,INSUMOS!$A:$I,2,FALSE)</f>
        <v>SINAPI</v>
      </c>
      <c r="D161" s="273" t="str">
        <f>VLOOKUP(B161,INSUMOS!$A:$I,3,FALSE)</f>
        <v>CONTATOR TRIPOLAR, CORRENTE DE *65* A, TENSAO NOMINAL DE *500* V, CATEGORIA AC-2 E AC-3</v>
      </c>
      <c r="E161" s="361" t="str">
        <f>VLOOKUP(B161,INSUMOS!$A:$I,4,FALSE)</f>
        <v>Material</v>
      </c>
      <c r="F161" s="361"/>
      <c r="G161" s="264" t="str">
        <f>VLOOKUP(B161,INSUMOS!$A:$I,5,FALSE)</f>
        <v>UN</v>
      </c>
      <c r="H161" s="267">
        <v>2</v>
      </c>
      <c r="I161" s="266">
        <f>VLOOKUP(B161,INSUMOS!$A:$I,8,FALSE)</f>
        <v>615.92999999999995</v>
      </c>
      <c r="J161" s="266">
        <f t="shared" si="32"/>
        <v>1231.8599999999999</v>
      </c>
      <c r="K161" s="172"/>
      <c r="L161" s="145">
        <f t="shared" si="25"/>
        <v>16</v>
      </c>
      <c r="M161" s="156">
        <f t="shared" si="26"/>
        <v>1231.8599999999999</v>
      </c>
      <c r="N161" s="157" t="str">
        <f t="shared" si="27"/>
        <v/>
      </c>
      <c r="O161" s="157">
        <f t="shared" si="28"/>
        <v>1231.8599999999999</v>
      </c>
      <c r="P161" s="158" t="str">
        <f t="shared" si="29"/>
        <v/>
      </c>
      <c r="Q161" s="157" t="str">
        <f t="shared" si="30"/>
        <v/>
      </c>
      <c r="R161" s="157" t="str">
        <f t="shared" si="31"/>
        <v/>
      </c>
    </row>
    <row r="162" spans="1:18" ht="15" hidden="1" customHeight="1" x14ac:dyDescent="0.25">
      <c r="A162" s="273" t="s">
        <v>31</v>
      </c>
      <c r="B162" s="265" t="s">
        <v>537</v>
      </c>
      <c r="C162" s="273" t="str">
        <f>VLOOKUP(B162,INSUMOS!$A:$I,2,FALSE)</f>
        <v>SINAPI</v>
      </c>
      <c r="D162" s="273" t="str">
        <f>VLOOKUP(B162,INSUMOS!$A:$I,3,FALSE)</f>
        <v>TERMINAL A COMPRESSAO EM COBRE ESTANHADO PARA CABO 50 MM2, 1 FURO E 1 COMPRESSAO, PARA PARAFUSO DE FIXACAO M8</v>
      </c>
      <c r="E162" s="361" t="str">
        <f>VLOOKUP(B162,INSUMOS!$A:$I,4,FALSE)</f>
        <v>Material</v>
      </c>
      <c r="F162" s="361"/>
      <c r="G162" s="264" t="str">
        <f>VLOOKUP(B162,INSUMOS!$A:$I,5,FALSE)</f>
        <v>UN</v>
      </c>
      <c r="H162" s="267">
        <v>8</v>
      </c>
      <c r="I162" s="266">
        <f>VLOOKUP(B162,INSUMOS!$A:$I,8,FALSE)</f>
        <v>4.78</v>
      </c>
      <c r="J162" s="266">
        <f t="shared" si="32"/>
        <v>38.24</v>
      </c>
      <c r="K162" s="172"/>
      <c r="L162" s="145">
        <f t="shared" si="25"/>
        <v>16</v>
      </c>
      <c r="M162" s="156">
        <f t="shared" si="26"/>
        <v>38.24</v>
      </c>
      <c r="N162" s="157" t="str">
        <f t="shared" si="27"/>
        <v/>
      </c>
      <c r="O162" s="157">
        <f t="shared" si="28"/>
        <v>38.24</v>
      </c>
      <c r="P162" s="158" t="str">
        <f t="shared" si="29"/>
        <v/>
      </c>
      <c r="Q162" s="157" t="str">
        <f t="shared" si="30"/>
        <v/>
      </c>
      <c r="R162" s="157" t="str">
        <f t="shared" si="31"/>
        <v/>
      </c>
    </row>
    <row r="163" spans="1:18" ht="15" hidden="1" customHeight="1" x14ac:dyDescent="0.25">
      <c r="A163" s="273" t="s">
        <v>31</v>
      </c>
      <c r="B163" s="265" t="s">
        <v>549</v>
      </c>
      <c r="C163" s="273" t="str">
        <f>VLOOKUP(B163,INSUMOS!$A:$I,2,FALSE)</f>
        <v>SINAPI</v>
      </c>
      <c r="D163" s="273" t="str">
        <f>VLOOKUP(B163,INSUMOS!$A:$I,3,FALSE)</f>
        <v>TERMINAL A COMPRESSAO EM COBRE ESTANHADO PARA CABO 25 MM2, 1 FURO E 1 COMPRESSAO, PARA PARAFUSO DE FIXACAO M8</v>
      </c>
      <c r="E163" s="361" t="str">
        <f>VLOOKUP(B163,INSUMOS!$A:$I,4,FALSE)</f>
        <v>Material</v>
      </c>
      <c r="F163" s="361"/>
      <c r="G163" s="264" t="str">
        <f>VLOOKUP(B163,INSUMOS!$A:$I,5,FALSE)</f>
        <v>UN</v>
      </c>
      <c r="H163" s="267">
        <v>2</v>
      </c>
      <c r="I163" s="266">
        <f>VLOOKUP(B163,INSUMOS!$A:$I,8,FALSE)</f>
        <v>2.44</v>
      </c>
      <c r="J163" s="266">
        <f t="shared" si="32"/>
        <v>4.88</v>
      </c>
      <c r="K163" s="172"/>
      <c r="L163" s="145">
        <f t="shared" si="25"/>
        <v>16</v>
      </c>
      <c r="M163" s="156">
        <f t="shared" si="26"/>
        <v>4.88</v>
      </c>
      <c r="N163" s="157" t="str">
        <f t="shared" si="27"/>
        <v/>
      </c>
      <c r="O163" s="157">
        <f t="shared" si="28"/>
        <v>4.88</v>
      </c>
      <c r="P163" s="158" t="str">
        <f t="shared" si="29"/>
        <v/>
      </c>
      <c r="Q163" s="157" t="str">
        <f t="shared" si="30"/>
        <v/>
      </c>
      <c r="R163" s="157" t="str">
        <f t="shared" si="31"/>
        <v/>
      </c>
    </row>
    <row r="164" spans="1:18" ht="38.25" hidden="1" customHeight="1" x14ac:dyDescent="0.25">
      <c r="A164" s="273" t="s">
        <v>31</v>
      </c>
      <c r="B164" s="265" t="s">
        <v>549</v>
      </c>
      <c r="C164" s="273" t="str">
        <f>VLOOKUP(B164,INSUMOS!$A:$I,2,FALSE)</f>
        <v>SINAPI</v>
      </c>
      <c r="D164" s="273" t="str">
        <f>VLOOKUP(B164,INSUMOS!$A:$I,3,FALSE)</f>
        <v>TERMINAL A COMPRESSAO EM COBRE ESTANHADO PARA CABO 25 MM2, 1 FURO E 1 COMPRESSAO, PARA PARAFUSO DE FIXACAO M8</v>
      </c>
      <c r="E164" s="361" t="str">
        <f>VLOOKUP(B164,INSUMOS!$A:$I,4,FALSE)</f>
        <v>Material</v>
      </c>
      <c r="F164" s="361"/>
      <c r="G164" s="264" t="str">
        <f>VLOOKUP(B164,INSUMOS!$A:$I,5,FALSE)</f>
        <v>UN</v>
      </c>
      <c r="H164" s="267">
        <v>2</v>
      </c>
      <c r="I164" s="266">
        <f>VLOOKUP(B164,INSUMOS!$A:$I,8,FALSE)</f>
        <v>2.44</v>
      </c>
      <c r="J164" s="266">
        <f t="shared" si="32"/>
        <v>4.88</v>
      </c>
      <c r="K164" s="172"/>
      <c r="L164" s="145">
        <f t="shared" si="25"/>
        <v>16</v>
      </c>
      <c r="M164" s="156">
        <f t="shared" si="26"/>
        <v>4.88</v>
      </c>
      <c r="N164" s="157" t="str">
        <f t="shared" si="27"/>
        <v/>
      </c>
      <c r="O164" s="157">
        <f t="shared" si="28"/>
        <v>4.88</v>
      </c>
      <c r="P164" s="158" t="str">
        <f t="shared" si="29"/>
        <v/>
      </c>
      <c r="Q164" s="157" t="str">
        <f t="shared" si="30"/>
        <v/>
      </c>
      <c r="R164" s="157" t="str">
        <f t="shared" si="31"/>
        <v/>
      </c>
    </row>
    <row r="165" spans="1:18" ht="25.5" hidden="1" customHeight="1" x14ac:dyDescent="0.25">
      <c r="A165" s="273" t="s">
        <v>31</v>
      </c>
      <c r="B165" s="265" t="s">
        <v>602</v>
      </c>
      <c r="C165" s="273" t="str">
        <f>VLOOKUP(B165,INSUMOS!$A:$I,2,FALSE)</f>
        <v>SINAPI</v>
      </c>
      <c r="D165" s="273" t="str">
        <f>VLOOKUP(B165,INSUMOS!$A:$I,3,FALSE)</f>
        <v>TERMINAL A COMPRESSAO EM COBRE ESTANHADO PARA CABO 16 MM2, 1 FURO E 1 COMPRESSAO, PARA PARAFUSO DE FIXACAO M6</v>
      </c>
      <c r="E165" s="361" t="str">
        <f>VLOOKUP(B165,INSUMOS!$A:$I,4,FALSE)</f>
        <v>Material</v>
      </c>
      <c r="F165" s="361"/>
      <c r="G165" s="264" t="str">
        <f>VLOOKUP(B165,INSUMOS!$A:$I,5,FALSE)</f>
        <v>UN</v>
      </c>
      <c r="H165" s="267">
        <v>3</v>
      </c>
      <c r="I165" s="266">
        <f>VLOOKUP(B165,INSUMOS!$A:$I,8,FALSE)</f>
        <v>1.76</v>
      </c>
      <c r="J165" s="266">
        <f t="shared" si="32"/>
        <v>5.28</v>
      </c>
      <c r="K165" s="172"/>
      <c r="L165" s="145">
        <f t="shared" si="25"/>
        <v>16</v>
      </c>
      <c r="M165" s="156">
        <f t="shared" si="26"/>
        <v>5.28</v>
      </c>
      <c r="N165" s="157" t="str">
        <f t="shared" si="27"/>
        <v/>
      </c>
      <c r="O165" s="157">
        <f t="shared" si="28"/>
        <v>5.28</v>
      </c>
      <c r="P165" s="158" t="str">
        <f t="shared" si="29"/>
        <v/>
      </c>
      <c r="Q165" s="157" t="str">
        <f t="shared" si="30"/>
        <v/>
      </c>
      <c r="R165" s="157" t="str">
        <f t="shared" si="31"/>
        <v/>
      </c>
    </row>
    <row r="166" spans="1:18" ht="38.25" hidden="1" customHeight="1" x14ac:dyDescent="0.25">
      <c r="A166" s="274"/>
      <c r="B166" s="274"/>
      <c r="C166" s="274"/>
      <c r="D166" s="274"/>
      <c r="E166" s="274"/>
      <c r="F166" s="268"/>
      <c r="G166" s="274"/>
      <c r="H166" s="268"/>
      <c r="I166" s="274"/>
      <c r="J166" s="268"/>
      <c r="K166" s="172"/>
      <c r="L166" s="145">
        <f t="shared" si="25"/>
        <v>16</v>
      </c>
      <c r="M166" s="156" t="str">
        <f t="shared" si="26"/>
        <v/>
      </c>
      <c r="N166" s="157" t="str">
        <f t="shared" si="27"/>
        <v/>
      </c>
      <c r="O166" s="157" t="str">
        <f t="shared" si="28"/>
        <v/>
      </c>
      <c r="P166" s="158" t="str">
        <f t="shared" si="29"/>
        <v/>
      </c>
      <c r="Q166" s="157" t="str">
        <f t="shared" si="30"/>
        <v/>
      </c>
      <c r="R166" s="157" t="str">
        <f t="shared" si="31"/>
        <v/>
      </c>
    </row>
    <row r="167" spans="1:18" ht="25.5" hidden="1" customHeight="1" thickBot="1" x14ac:dyDescent="0.3">
      <c r="A167" s="274"/>
      <c r="B167" s="274"/>
      <c r="C167" s="274"/>
      <c r="D167" s="274"/>
      <c r="E167" s="274"/>
      <c r="F167" s="268"/>
      <c r="G167" s="274"/>
      <c r="H167" s="350"/>
      <c r="I167" s="350"/>
      <c r="J167" s="268"/>
      <c r="K167" s="172"/>
      <c r="L167" s="145">
        <f t="shared" si="25"/>
        <v>16</v>
      </c>
      <c r="M167" s="156" t="str">
        <f t="shared" si="26"/>
        <v/>
      </c>
      <c r="N167" s="157" t="str">
        <f t="shared" si="27"/>
        <v/>
      </c>
      <c r="O167" s="157" t="str">
        <f t="shared" si="28"/>
        <v/>
      </c>
      <c r="P167" s="158" t="str">
        <f t="shared" si="29"/>
        <v/>
      </c>
      <c r="Q167" s="157" t="str">
        <f t="shared" si="30"/>
        <v/>
      </c>
      <c r="R167" s="157" t="str">
        <f t="shared" si="31"/>
        <v/>
      </c>
    </row>
    <row r="168" spans="1:18" ht="14.4" hidden="1" thickTop="1" x14ac:dyDescent="0.25">
      <c r="A168" s="259"/>
      <c r="B168" s="259"/>
      <c r="C168" s="259"/>
      <c r="D168" s="259"/>
      <c r="E168" s="259"/>
      <c r="F168" s="259"/>
      <c r="G168" s="259"/>
      <c r="H168" s="259"/>
      <c r="I168" s="259"/>
      <c r="J168" s="259"/>
      <c r="K168" s="172"/>
      <c r="L168" s="145">
        <f t="shared" si="25"/>
        <v>17</v>
      </c>
      <c r="M168" s="156" t="str">
        <f t="shared" si="26"/>
        <v/>
      </c>
      <c r="N168" s="157" t="str">
        <f t="shared" si="27"/>
        <v/>
      </c>
      <c r="O168" s="157" t="str">
        <f t="shared" si="28"/>
        <v/>
      </c>
      <c r="P168" s="158" t="str">
        <f t="shared" si="29"/>
        <v/>
      </c>
      <c r="Q168" s="157" t="str">
        <f t="shared" si="30"/>
        <v/>
      </c>
      <c r="R168" s="157" t="str">
        <f t="shared" si="31"/>
        <v/>
      </c>
    </row>
    <row r="169" spans="1:18" hidden="1" x14ac:dyDescent="0.25">
      <c r="A169" s="270" t="s">
        <v>700</v>
      </c>
      <c r="B169" s="254" t="s">
        <v>1</v>
      </c>
      <c r="C169" s="270" t="s">
        <v>2</v>
      </c>
      <c r="D169" s="270" t="s">
        <v>3</v>
      </c>
      <c r="E169" s="347" t="s">
        <v>19</v>
      </c>
      <c r="F169" s="347"/>
      <c r="G169" s="253" t="s">
        <v>4</v>
      </c>
      <c r="H169" s="254" t="s">
        <v>5</v>
      </c>
      <c r="I169" s="254" t="s">
        <v>6</v>
      </c>
      <c r="J169" s="254" t="s">
        <v>7</v>
      </c>
      <c r="K169" s="172"/>
      <c r="L169" s="145">
        <f t="shared" si="25"/>
        <v>17</v>
      </c>
      <c r="M169" s="156" t="str">
        <f t="shared" si="26"/>
        <v/>
      </c>
      <c r="N169" s="157" t="str">
        <f t="shared" si="27"/>
        <v/>
      </c>
      <c r="O169" s="157" t="str">
        <f t="shared" si="28"/>
        <v/>
      </c>
      <c r="P169" s="158" t="str">
        <f t="shared" si="29"/>
        <v/>
      </c>
      <c r="Q169" s="157" t="str">
        <f t="shared" si="30"/>
        <v/>
      </c>
      <c r="R169" s="157" t="str">
        <f t="shared" si="31"/>
        <v/>
      </c>
    </row>
    <row r="170" spans="1:18" ht="15" hidden="1" customHeight="1" x14ac:dyDescent="0.25">
      <c r="A170" s="271" t="s">
        <v>20</v>
      </c>
      <c r="B170" s="256" t="s">
        <v>701</v>
      </c>
      <c r="C170" s="271" t="s">
        <v>13</v>
      </c>
      <c r="D170" s="271" t="s">
        <v>702</v>
      </c>
      <c r="E170" s="362" t="s">
        <v>315</v>
      </c>
      <c r="F170" s="362"/>
      <c r="G170" s="255" t="s">
        <v>690</v>
      </c>
      <c r="H170" s="258">
        <v>1</v>
      </c>
      <c r="I170" s="257">
        <f>SUMIF(L:L,$L170,M:M)</f>
        <v>248.17000000000002</v>
      </c>
      <c r="J170" s="257">
        <f>TRUNC(H170*I170,2)</f>
        <v>248.17</v>
      </c>
      <c r="K170" s="172"/>
      <c r="L170" s="145">
        <f t="shared" si="25"/>
        <v>17</v>
      </c>
      <c r="M170" s="156" t="str">
        <f t="shared" si="26"/>
        <v/>
      </c>
      <c r="N170" s="157" t="str">
        <f t="shared" si="27"/>
        <v/>
      </c>
      <c r="O170" s="157" t="str">
        <f t="shared" si="28"/>
        <v/>
      </c>
      <c r="P170" s="158" t="str">
        <f t="shared" si="29"/>
        <v xml:space="preserve"> S-ELE-SFCR-PGR-23 </v>
      </c>
      <c r="Q170" s="157">
        <f t="shared" si="30"/>
        <v>0</v>
      </c>
      <c r="R170" s="157">
        <f t="shared" si="31"/>
        <v>248.17000000000002</v>
      </c>
    </row>
    <row r="171" spans="1:18" ht="38.25" hidden="1" customHeight="1" x14ac:dyDescent="0.25">
      <c r="A171" s="272" t="s">
        <v>22</v>
      </c>
      <c r="B171" s="261" t="s">
        <v>703</v>
      </c>
      <c r="C171" s="272" t="s">
        <v>10</v>
      </c>
      <c r="D171" s="272" t="s">
        <v>704</v>
      </c>
      <c r="E171" s="363" t="s">
        <v>315</v>
      </c>
      <c r="F171" s="363"/>
      <c r="G171" s="260" t="s">
        <v>16</v>
      </c>
      <c r="H171" s="263">
        <v>4</v>
      </c>
      <c r="I171" s="262">
        <f>SUMIFS(J:J,A:A,"Composição",B:B,$B171)</f>
        <v>54.85</v>
      </c>
      <c r="J171" s="262">
        <f>TRUNC(H171*I171,2)</f>
        <v>219.4</v>
      </c>
      <c r="K171" s="172"/>
      <c r="L171" s="145">
        <f t="shared" si="25"/>
        <v>17</v>
      </c>
      <c r="M171" s="156">
        <f t="shared" si="26"/>
        <v>219.4</v>
      </c>
      <c r="N171" s="157" t="str">
        <f t="shared" si="27"/>
        <v/>
      </c>
      <c r="O171" s="157">
        <f t="shared" si="28"/>
        <v>219.4</v>
      </c>
      <c r="P171" s="158" t="str">
        <f t="shared" si="29"/>
        <v/>
      </c>
      <c r="Q171" s="157" t="str">
        <f t="shared" si="30"/>
        <v/>
      </c>
      <c r="R171" s="157" t="str">
        <f t="shared" si="31"/>
        <v/>
      </c>
    </row>
    <row r="172" spans="1:18" ht="15" hidden="1" customHeight="1" x14ac:dyDescent="0.25">
      <c r="A172" s="272" t="s">
        <v>22</v>
      </c>
      <c r="B172" s="261" t="s">
        <v>696</v>
      </c>
      <c r="C172" s="272" t="s">
        <v>10</v>
      </c>
      <c r="D172" s="272" t="s">
        <v>697</v>
      </c>
      <c r="E172" s="363" t="s">
        <v>315</v>
      </c>
      <c r="F172" s="363"/>
      <c r="G172" s="260" t="s">
        <v>16</v>
      </c>
      <c r="H172" s="263">
        <v>1</v>
      </c>
      <c r="I172" s="262">
        <f>SUMIFS(J:J,A:A,"Composição",B:B,$B172)</f>
        <v>28.77</v>
      </c>
      <c r="J172" s="262">
        <f>TRUNC(H172*I172,2)</f>
        <v>28.77</v>
      </c>
      <c r="K172" s="172"/>
      <c r="L172" s="145">
        <f t="shared" si="25"/>
        <v>17</v>
      </c>
      <c r="M172" s="156">
        <f t="shared" si="26"/>
        <v>28.77</v>
      </c>
      <c r="N172" s="157" t="str">
        <f t="shared" si="27"/>
        <v/>
      </c>
      <c r="O172" s="157">
        <f t="shared" si="28"/>
        <v>28.77</v>
      </c>
      <c r="P172" s="158" t="str">
        <f t="shared" si="29"/>
        <v/>
      </c>
      <c r="Q172" s="157" t="str">
        <f t="shared" si="30"/>
        <v/>
      </c>
      <c r="R172" s="157" t="str">
        <f t="shared" si="31"/>
        <v/>
      </c>
    </row>
    <row r="173" spans="1:18" hidden="1" x14ac:dyDescent="0.25">
      <c r="A173" s="274"/>
      <c r="B173" s="274"/>
      <c r="C173" s="274"/>
      <c r="D173" s="274"/>
      <c r="E173" s="274"/>
      <c r="F173" s="268"/>
      <c r="G173" s="274"/>
      <c r="H173" s="268"/>
      <c r="I173" s="274"/>
      <c r="J173" s="268"/>
      <c r="K173" s="172"/>
      <c r="L173" s="145">
        <f t="shared" si="25"/>
        <v>17</v>
      </c>
      <c r="M173" s="156" t="str">
        <f t="shared" si="26"/>
        <v/>
      </c>
      <c r="N173" s="157" t="str">
        <f t="shared" si="27"/>
        <v/>
      </c>
      <c r="O173" s="157" t="str">
        <f t="shared" si="28"/>
        <v/>
      </c>
      <c r="P173" s="158" t="str">
        <f t="shared" si="29"/>
        <v/>
      </c>
      <c r="Q173" s="157" t="str">
        <f t="shared" si="30"/>
        <v/>
      </c>
      <c r="R173" s="157" t="str">
        <f t="shared" si="31"/>
        <v/>
      </c>
    </row>
    <row r="174" spans="1:18" ht="25.5" hidden="1" customHeight="1" thickBot="1" x14ac:dyDescent="0.3">
      <c r="A174" s="274"/>
      <c r="B174" s="274"/>
      <c r="C174" s="274"/>
      <c r="D174" s="274"/>
      <c r="E174" s="274"/>
      <c r="F174" s="268"/>
      <c r="G174" s="274"/>
      <c r="H174" s="350"/>
      <c r="I174" s="350"/>
      <c r="J174" s="268"/>
      <c r="K174" s="172"/>
      <c r="L174" s="145">
        <f t="shared" si="25"/>
        <v>17</v>
      </c>
      <c r="M174" s="156" t="str">
        <f t="shared" si="26"/>
        <v/>
      </c>
      <c r="N174" s="157" t="str">
        <f t="shared" si="27"/>
        <v/>
      </c>
      <c r="O174" s="157" t="str">
        <f t="shared" si="28"/>
        <v/>
      </c>
      <c r="P174" s="158" t="str">
        <f t="shared" si="29"/>
        <v/>
      </c>
      <c r="Q174" s="157" t="str">
        <f t="shared" si="30"/>
        <v/>
      </c>
      <c r="R174" s="157" t="str">
        <f t="shared" si="31"/>
        <v/>
      </c>
    </row>
    <row r="175" spans="1:18" ht="14.25" hidden="1" customHeight="1" thickTop="1" x14ac:dyDescent="0.25">
      <c r="A175" s="259"/>
      <c r="B175" s="259"/>
      <c r="C175" s="259"/>
      <c r="D175" s="259"/>
      <c r="E175" s="259"/>
      <c r="F175" s="259"/>
      <c r="G175" s="259"/>
      <c r="H175" s="259"/>
      <c r="I175" s="259"/>
      <c r="J175" s="259"/>
      <c r="K175" s="172"/>
      <c r="L175" s="145">
        <f t="shared" si="25"/>
        <v>18</v>
      </c>
      <c r="M175" s="156" t="str">
        <f t="shared" si="26"/>
        <v/>
      </c>
      <c r="N175" s="157" t="str">
        <f t="shared" si="27"/>
        <v/>
      </c>
      <c r="O175" s="157" t="str">
        <f t="shared" si="28"/>
        <v/>
      </c>
      <c r="P175" s="158" t="str">
        <f t="shared" si="29"/>
        <v/>
      </c>
      <c r="Q175" s="157" t="str">
        <f t="shared" si="30"/>
        <v/>
      </c>
      <c r="R175" s="157" t="str">
        <f t="shared" si="31"/>
        <v/>
      </c>
    </row>
    <row r="176" spans="1:18" hidden="1" x14ac:dyDescent="0.25">
      <c r="A176" s="270" t="s">
        <v>705</v>
      </c>
      <c r="B176" s="254" t="s">
        <v>1</v>
      </c>
      <c r="C176" s="270" t="s">
        <v>2</v>
      </c>
      <c r="D176" s="270" t="s">
        <v>3</v>
      </c>
      <c r="E176" s="347" t="s">
        <v>19</v>
      </c>
      <c r="F176" s="347"/>
      <c r="G176" s="253" t="s">
        <v>4</v>
      </c>
      <c r="H176" s="254" t="s">
        <v>5</v>
      </c>
      <c r="I176" s="254" t="s">
        <v>6</v>
      </c>
      <c r="J176" s="254" t="s">
        <v>7</v>
      </c>
      <c r="K176" s="172"/>
      <c r="L176" s="145">
        <f t="shared" si="25"/>
        <v>18</v>
      </c>
      <c r="M176" s="156" t="str">
        <f t="shared" si="26"/>
        <v/>
      </c>
      <c r="N176" s="157" t="str">
        <f t="shared" si="27"/>
        <v/>
      </c>
      <c r="O176" s="157" t="str">
        <f t="shared" si="28"/>
        <v/>
      </c>
      <c r="P176" s="158" t="str">
        <f t="shared" si="29"/>
        <v/>
      </c>
      <c r="Q176" s="157" t="str">
        <f t="shared" si="30"/>
        <v/>
      </c>
      <c r="R176" s="157" t="str">
        <f t="shared" si="31"/>
        <v/>
      </c>
    </row>
    <row r="177" spans="1:18" ht="25.5" hidden="1" customHeight="1" x14ac:dyDescent="0.25">
      <c r="A177" s="271" t="s">
        <v>20</v>
      </c>
      <c r="B177" s="256" t="s">
        <v>706</v>
      </c>
      <c r="C177" s="271" t="s">
        <v>13</v>
      </c>
      <c r="D177" s="271" t="s">
        <v>707</v>
      </c>
      <c r="E177" s="362" t="s">
        <v>315</v>
      </c>
      <c r="F177" s="362"/>
      <c r="G177" s="255" t="s">
        <v>690</v>
      </c>
      <c r="H177" s="258">
        <v>1</v>
      </c>
      <c r="I177" s="257">
        <f>SUMIF(L:L,$L177,M:M)</f>
        <v>10.36</v>
      </c>
      <c r="J177" s="257">
        <f>TRUNC(H177*I177,2)</f>
        <v>10.36</v>
      </c>
      <c r="K177" s="172"/>
      <c r="L177" s="145">
        <f t="shared" si="25"/>
        <v>18</v>
      </c>
      <c r="M177" s="156" t="str">
        <f t="shared" si="26"/>
        <v/>
      </c>
      <c r="N177" s="157" t="str">
        <f t="shared" si="27"/>
        <v/>
      </c>
      <c r="O177" s="157" t="str">
        <f t="shared" si="28"/>
        <v/>
      </c>
      <c r="P177" s="158" t="str">
        <f t="shared" si="29"/>
        <v xml:space="preserve"> S-ELE-SFCR-PGR-24 </v>
      </c>
      <c r="Q177" s="157">
        <f t="shared" si="30"/>
        <v>0</v>
      </c>
      <c r="R177" s="157">
        <f t="shared" si="31"/>
        <v>10.36</v>
      </c>
    </row>
    <row r="178" spans="1:18" ht="14.25" hidden="1" customHeight="1" x14ac:dyDescent="0.25">
      <c r="A178" s="272" t="s">
        <v>22</v>
      </c>
      <c r="B178" s="261" t="s">
        <v>298</v>
      </c>
      <c r="C178" s="272" t="s">
        <v>10</v>
      </c>
      <c r="D178" s="272" t="s">
        <v>299</v>
      </c>
      <c r="E178" s="363" t="s">
        <v>27</v>
      </c>
      <c r="F178" s="363"/>
      <c r="G178" s="260" t="s">
        <v>28</v>
      </c>
      <c r="H178" s="263">
        <v>1.2999999999999999E-2</v>
      </c>
      <c r="I178" s="262">
        <f>SUMIFS(J:J,A:A,"Composição",B:B,$B178)</f>
        <v>18.739999999999998</v>
      </c>
      <c r="J178" s="262">
        <f>TRUNC(H178*I178,2)</f>
        <v>0.24</v>
      </c>
      <c r="K178" s="172"/>
      <c r="L178" s="145">
        <f t="shared" si="25"/>
        <v>18</v>
      </c>
      <c r="M178" s="156">
        <f t="shared" si="26"/>
        <v>0.24</v>
      </c>
      <c r="N178" s="157" t="str">
        <f t="shared" si="27"/>
        <v/>
      </c>
      <c r="O178" s="157">
        <f t="shared" si="28"/>
        <v>0.24</v>
      </c>
      <c r="P178" s="158" t="str">
        <f t="shared" si="29"/>
        <v/>
      </c>
      <c r="Q178" s="157" t="str">
        <f t="shared" si="30"/>
        <v/>
      </c>
      <c r="R178" s="157" t="str">
        <f t="shared" si="31"/>
        <v/>
      </c>
    </row>
    <row r="179" spans="1:18" ht="15" hidden="1" customHeight="1" x14ac:dyDescent="0.25">
      <c r="A179" s="272" t="s">
        <v>22</v>
      </c>
      <c r="B179" s="261" t="s">
        <v>313</v>
      </c>
      <c r="C179" s="272" t="s">
        <v>10</v>
      </c>
      <c r="D179" s="272" t="s">
        <v>314</v>
      </c>
      <c r="E179" s="363" t="s">
        <v>27</v>
      </c>
      <c r="F179" s="363"/>
      <c r="G179" s="260" t="s">
        <v>28</v>
      </c>
      <c r="H179" s="263">
        <v>1.2999999999999999E-2</v>
      </c>
      <c r="I179" s="262">
        <f>SUMIFS(J:J,A:A,"Composição",B:B,$B179)</f>
        <v>24.1</v>
      </c>
      <c r="J179" s="262">
        <f>TRUNC(H179*I179,2)</f>
        <v>0.31</v>
      </c>
      <c r="K179" s="172"/>
      <c r="L179" s="145">
        <f t="shared" si="25"/>
        <v>18</v>
      </c>
      <c r="M179" s="156">
        <f t="shared" si="26"/>
        <v>0.31</v>
      </c>
      <c r="N179" s="157" t="str">
        <f t="shared" si="27"/>
        <v/>
      </c>
      <c r="O179" s="157">
        <f t="shared" si="28"/>
        <v>0.31</v>
      </c>
      <c r="P179" s="158" t="str">
        <f t="shared" si="29"/>
        <v/>
      </c>
      <c r="Q179" s="157" t="str">
        <f t="shared" si="30"/>
        <v/>
      </c>
      <c r="R179" s="157" t="str">
        <f t="shared" si="31"/>
        <v/>
      </c>
    </row>
    <row r="180" spans="1:18" ht="26.4" hidden="1" customHeight="1" x14ac:dyDescent="0.25">
      <c r="A180" s="273" t="s">
        <v>31</v>
      </c>
      <c r="B180" s="265" t="s">
        <v>325</v>
      </c>
      <c r="C180" s="273" t="str">
        <f>VLOOKUP(B180,INSUMOS!$A:$I,2,FALSE)</f>
        <v>SINAPI</v>
      </c>
      <c r="D180" s="273" t="str">
        <f>VLOOKUP(B180,INSUMOS!$A:$I,3,FALSE)</f>
        <v>CABO MULTIPOLAR DE COBRE, FLEXIVEL, CLASSE 4 OU 5, ISOLACAO EM HEPR, COBERTURA EM PVC-ST2, ANTICHAMA BWF-B, 0,6/1 KV, 3 CONDUTORES DE 2,5 MM2</v>
      </c>
      <c r="E180" s="361" t="str">
        <f>VLOOKUP(B180,INSUMOS!$A:$I,4,FALSE)</f>
        <v>Material</v>
      </c>
      <c r="F180" s="361"/>
      <c r="G180" s="264" t="str">
        <f>VLOOKUP(B180,INSUMOS!$A:$I,5,FALSE)</f>
        <v>M</v>
      </c>
      <c r="H180" s="267">
        <v>1.0269999999999999</v>
      </c>
      <c r="I180" s="266">
        <f>VLOOKUP(B180,INSUMOS!$A:$I,8,FALSE)</f>
        <v>9.5299999999999994</v>
      </c>
      <c r="J180" s="266">
        <f>TRUNC(H180*I180,2)</f>
        <v>9.7799999999999994</v>
      </c>
      <c r="K180" s="172"/>
      <c r="L180" s="145">
        <f t="shared" si="25"/>
        <v>18</v>
      </c>
      <c r="M180" s="156">
        <f t="shared" si="26"/>
        <v>9.7799999999999994</v>
      </c>
      <c r="N180" s="157" t="str">
        <f t="shared" si="27"/>
        <v/>
      </c>
      <c r="O180" s="157">
        <f t="shared" si="28"/>
        <v>9.7799999999999994</v>
      </c>
      <c r="P180" s="158" t="str">
        <f t="shared" si="29"/>
        <v/>
      </c>
      <c r="Q180" s="157" t="str">
        <f t="shared" si="30"/>
        <v/>
      </c>
      <c r="R180" s="157" t="str">
        <f t="shared" si="31"/>
        <v/>
      </c>
    </row>
    <row r="181" spans="1:18" ht="26.4" hidden="1" customHeight="1" x14ac:dyDescent="0.25">
      <c r="A181" s="273" t="s">
        <v>31</v>
      </c>
      <c r="B181" s="265" t="s">
        <v>285</v>
      </c>
      <c r="C181" s="273" t="str">
        <f>VLOOKUP(B181,INSUMOS!$A:$I,2,FALSE)</f>
        <v>SINAPI</v>
      </c>
      <c r="D181" s="273" t="str">
        <f>VLOOKUP(B181,INSUMOS!$A:$I,3,FALSE)</f>
        <v>FITA ISOLANTE ADESIVA ANTICHAMA, USO ATE 750 V, EM ROLO DE 19 MM X 5 M</v>
      </c>
      <c r="E181" s="361" t="str">
        <f>VLOOKUP(B181,INSUMOS!$A:$I,4,FALSE)</f>
        <v>Material</v>
      </c>
      <c r="F181" s="361"/>
      <c r="G181" s="264" t="str">
        <f>VLOOKUP(B181,INSUMOS!$A:$I,5,FALSE)</f>
        <v>UN</v>
      </c>
      <c r="H181" s="267">
        <v>0.01</v>
      </c>
      <c r="I181" s="266">
        <f>VLOOKUP(B181,INSUMOS!$A:$I,8,FALSE)</f>
        <v>3.6</v>
      </c>
      <c r="J181" s="266">
        <f>TRUNC(H181*I181,2)</f>
        <v>0.03</v>
      </c>
      <c r="K181" s="172"/>
      <c r="L181" s="145">
        <f t="shared" si="25"/>
        <v>18</v>
      </c>
      <c r="M181" s="156">
        <f t="shared" si="26"/>
        <v>0.03</v>
      </c>
      <c r="N181" s="157" t="str">
        <f t="shared" si="27"/>
        <v/>
      </c>
      <c r="O181" s="157">
        <f t="shared" si="28"/>
        <v>0.03</v>
      </c>
      <c r="P181" s="158" t="str">
        <f t="shared" si="29"/>
        <v/>
      </c>
      <c r="Q181" s="157" t="str">
        <f t="shared" si="30"/>
        <v/>
      </c>
      <c r="R181" s="157" t="str">
        <f t="shared" si="31"/>
        <v/>
      </c>
    </row>
    <row r="182" spans="1:18" ht="14.25" hidden="1" customHeight="1" x14ac:dyDescent="0.25">
      <c r="A182" s="274"/>
      <c r="B182" s="274"/>
      <c r="C182" s="274"/>
      <c r="D182" s="274"/>
      <c r="E182" s="274"/>
      <c r="F182" s="268"/>
      <c r="G182" s="274"/>
      <c r="H182" s="268"/>
      <c r="I182" s="274"/>
      <c r="J182" s="268"/>
      <c r="K182" s="172"/>
      <c r="L182" s="145">
        <f t="shared" si="25"/>
        <v>18</v>
      </c>
      <c r="M182" s="156" t="str">
        <f t="shared" si="26"/>
        <v/>
      </c>
      <c r="N182" s="157" t="str">
        <f t="shared" si="27"/>
        <v/>
      </c>
      <c r="O182" s="157" t="str">
        <f t="shared" si="28"/>
        <v/>
      </c>
      <c r="P182" s="158" t="str">
        <f t="shared" si="29"/>
        <v/>
      </c>
      <c r="Q182" s="157" t="str">
        <f t="shared" si="30"/>
        <v/>
      </c>
      <c r="R182" s="157" t="str">
        <f t="shared" si="31"/>
        <v/>
      </c>
    </row>
    <row r="183" spans="1:18" ht="15" hidden="1" customHeight="1" thickBot="1" x14ac:dyDescent="0.3">
      <c r="A183" s="274"/>
      <c r="B183" s="274"/>
      <c r="C183" s="274"/>
      <c r="D183" s="274"/>
      <c r="E183" s="274"/>
      <c r="F183" s="268"/>
      <c r="G183" s="274"/>
      <c r="H183" s="350"/>
      <c r="I183" s="350"/>
      <c r="J183" s="268"/>
      <c r="K183" s="172"/>
      <c r="L183" s="145">
        <f t="shared" si="25"/>
        <v>18</v>
      </c>
      <c r="M183" s="156" t="str">
        <f t="shared" si="26"/>
        <v/>
      </c>
      <c r="N183" s="157" t="str">
        <f t="shared" si="27"/>
        <v/>
      </c>
      <c r="O183" s="157" t="str">
        <f t="shared" si="28"/>
        <v/>
      </c>
      <c r="P183" s="158" t="str">
        <f t="shared" si="29"/>
        <v/>
      </c>
      <c r="Q183" s="157" t="str">
        <f t="shared" si="30"/>
        <v/>
      </c>
      <c r="R183" s="157" t="str">
        <f t="shared" si="31"/>
        <v/>
      </c>
    </row>
    <row r="184" spans="1:18" ht="14.25" hidden="1" customHeight="1" thickTop="1" x14ac:dyDescent="0.25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172"/>
      <c r="L184" s="145">
        <f t="shared" si="25"/>
        <v>19</v>
      </c>
      <c r="M184" s="156" t="str">
        <f t="shared" si="26"/>
        <v/>
      </c>
      <c r="N184" s="157" t="str">
        <f t="shared" si="27"/>
        <v/>
      </c>
      <c r="O184" s="157" t="str">
        <f t="shared" si="28"/>
        <v/>
      </c>
      <c r="P184" s="158" t="str">
        <f t="shared" si="29"/>
        <v/>
      </c>
      <c r="Q184" s="157" t="str">
        <f t="shared" si="30"/>
        <v/>
      </c>
      <c r="R184" s="157" t="str">
        <f t="shared" si="31"/>
        <v/>
      </c>
    </row>
    <row r="185" spans="1:18" hidden="1" x14ac:dyDescent="0.25">
      <c r="A185" s="270" t="s">
        <v>708</v>
      </c>
      <c r="B185" s="254" t="s">
        <v>1</v>
      </c>
      <c r="C185" s="270" t="s">
        <v>2</v>
      </c>
      <c r="D185" s="270" t="s">
        <v>3</v>
      </c>
      <c r="E185" s="347" t="s">
        <v>19</v>
      </c>
      <c r="F185" s="347"/>
      <c r="G185" s="253" t="s">
        <v>4</v>
      </c>
      <c r="H185" s="254" t="s">
        <v>5</v>
      </c>
      <c r="I185" s="254" t="s">
        <v>6</v>
      </c>
      <c r="J185" s="254" t="s">
        <v>7</v>
      </c>
      <c r="K185" s="172"/>
      <c r="L185" s="145">
        <f t="shared" si="25"/>
        <v>19</v>
      </c>
      <c r="M185" s="156" t="str">
        <f t="shared" si="26"/>
        <v/>
      </c>
      <c r="N185" s="157" t="str">
        <f t="shared" si="27"/>
        <v/>
      </c>
      <c r="O185" s="157" t="str">
        <f t="shared" si="28"/>
        <v/>
      </c>
      <c r="P185" s="158" t="str">
        <f t="shared" si="29"/>
        <v/>
      </c>
      <c r="Q185" s="157" t="str">
        <f t="shared" si="30"/>
        <v/>
      </c>
      <c r="R185" s="157" t="str">
        <f t="shared" si="31"/>
        <v/>
      </c>
    </row>
    <row r="186" spans="1:18" ht="15" hidden="1" customHeight="1" x14ac:dyDescent="0.25">
      <c r="A186" s="271" t="s">
        <v>20</v>
      </c>
      <c r="B186" s="256" t="s">
        <v>709</v>
      </c>
      <c r="C186" s="271" t="s">
        <v>13</v>
      </c>
      <c r="D186" s="271" t="s">
        <v>710</v>
      </c>
      <c r="E186" s="362" t="s">
        <v>315</v>
      </c>
      <c r="F186" s="362"/>
      <c r="G186" s="255" t="s">
        <v>375</v>
      </c>
      <c r="H186" s="258">
        <v>1</v>
      </c>
      <c r="I186" s="257">
        <f>SUMIF(L:L,$L186,M:M)</f>
        <v>207.46000000000004</v>
      </c>
      <c r="J186" s="257">
        <f t="shared" ref="J186:J192" si="33">TRUNC(H186*I186,2)</f>
        <v>207.46</v>
      </c>
      <c r="K186" s="172"/>
      <c r="L186" s="145">
        <f t="shared" si="25"/>
        <v>19</v>
      </c>
      <c r="M186" s="156" t="str">
        <f t="shared" si="26"/>
        <v/>
      </c>
      <c r="N186" s="157" t="str">
        <f t="shared" si="27"/>
        <v/>
      </c>
      <c r="O186" s="157" t="str">
        <f t="shared" si="28"/>
        <v/>
      </c>
      <c r="P186" s="158" t="str">
        <f t="shared" si="29"/>
        <v xml:space="preserve"> S-ELE-SFCR-PGR-32 </v>
      </c>
      <c r="Q186" s="157">
        <f t="shared" si="30"/>
        <v>0</v>
      </c>
      <c r="R186" s="157">
        <f t="shared" si="31"/>
        <v>207.46000000000004</v>
      </c>
    </row>
    <row r="187" spans="1:18" ht="26.4" hidden="1" x14ac:dyDescent="0.25">
      <c r="A187" s="272" t="s">
        <v>22</v>
      </c>
      <c r="B187" s="261" t="s">
        <v>694</v>
      </c>
      <c r="C187" s="272" t="s">
        <v>10</v>
      </c>
      <c r="D187" s="272" t="s">
        <v>695</v>
      </c>
      <c r="E187" s="363" t="s">
        <v>27</v>
      </c>
      <c r="F187" s="363"/>
      <c r="G187" s="260" t="s">
        <v>28</v>
      </c>
      <c r="H187" s="263">
        <v>1.5</v>
      </c>
      <c r="I187" s="262">
        <f>SUMIFS(J:J,A:A,"Composição",B:B,$B187)</f>
        <v>32.51</v>
      </c>
      <c r="J187" s="262">
        <f t="shared" si="33"/>
        <v>48.76</v>
      </c>
      <c r="K187" s="172"/>
      <c r="L187" s="145">
        <f t="shared" si="25"/>
        <v>19</v>
      </c>
      <c r="M187" s="156">
        <f t="shared" si="26"/>
        <v>48.76</v>
      </c>
      <c r="N187" s="157" t="str">
        <f t="shared" si="27"/>
        <v/>
      </c>
      <c r="O187" s="157">
        <f t="shared" si="28"/>
        <v>48.76</v>
      </c>
      <c r="P187" s="158" t="str">
        <f t="shared" si="29"/>
        <v/>
      </c>
      <c r="Q187" s="157" t="str">
        <f t="shared" si="30"/>
        <v/>
      </c>
      <c r="R187" s="157" t="str">
        <f t="shared" si="31"/>
        <v/>
      </c>
    </row>
    <row r="188" spans="1:18" ht="26.4" hidden="1" x14ac:dyDescent="0.25">
      <c r="A188" s="272" t="s">
        <v>22</v>
      </c>
      <c r="B188" s="261" t="s">
        <v>298</v>
      </c>
      <c r="C188" s="272" t="s">
        <v>10</v>
      </c>
      <c r="D188" s="272" t="s">
        <v>299</v>
      </c>
      <c r="E188" s="363" t="s">
        <v>27</v>
      </c>
      <c r="F188" s="363"/>
      <c r="G188" s="260" t="s">
        <v>28</v>
      </c>
      <c r="H188" s="263">
        <v>1.5</v>
      </c>
      <c r="I188" s="262">
        <f>SUMIFS(J:J,A:A,"Composição",B:B,$B188)</f>
        <v>18.739999999999998</v>
      </c>
      <c r="J188" s="262">
        <f t="shared" si="33"/>
        <v>28.11</v>
      </c>
      <c r="K188" s="172"/>
      <c r="L188" s="145">
        <f t="shared" si="25"/>
        <v>19</v>
      </c>
      <c r="M188" s="156">
        <f t="shared" si="26"/>
        <v>28.11</v>
      </c>
      <c r="N188" s="157" t="str">
        <f t="shared" si="27"/>
        <v/>
      </c>
      <c r="O188" s="157">
        <f t="shared" si="28"/>
        <v>28.11</v>
      </c>
      <c r="P188" s="158" t="str">
        <f t="shared" si="29"/>
        <v/>
      </c>
      <c r="Q188" s="157" t="str">
        <f t="shared" si="30"/>
        <v/>
      </c>
      <c r="R188" s="157" t="str">
        <f t="shared" si="31"/>
        <v/>
      </c>
    </row>
    <row r="189" spans="1:18" ht="25.5" hidden="1" customHeight="1" x14ac:dyDescent="0.25">
      <c r="A189" s="273" t="s">
        <v>31</v>
      </c>
      <c r="B189" s="265" t="s">
        <v>499</v>
      </c>
      <c r="C189" s="273" t="str">
        <f>VLOOKUP(B189,INSUMOS!$A:$I,2,FALSE)</f>
        <v>SINAPI</v>
      </c>
      <c r="D189" s="273" t="str">
        <f>VLOOKUP(B189,INSUMOS!$A:$I,3,FALSE)</f>
        <v>CONTATOR TRIPOLAR, CORRENTE DE 9 A, TENSAO NOMINAL DE *500* V, CATEGORIA AC-2 E AC-3</v>
      </c>
      <c r="E189" s="361" t="str">
        <f>VLOOKUP(B189,INSUMOS!$A:$I,4,FALSE)</f>
        <v>Material</v>
      </c>
      <c r="F189" s="361"/>
      <c r="G189" s="264" t="str">
        <f>VLOOKUP(B189,INSUMOS!$A:$I,5,FALSE)</f>
        <v>UN</v>
      </c>
      <c r="H189" s="267">
        <v>1</v>
      </c>
      <c r="I189" s="266">
        <f>VLOOKUP(B189,INSUMOS!$A:$I,8,FALSE)</f>
        <v>117.48</v>
      </c>
      <c r="J189" s="266">
        <f t="shared" si="33"/>
        <v>117.48</v>
      </c>
      <c r="K189" s="172"/>
      <c r="L189" s="145">
        <f t="shared" si="25"/>
        <v>19</v>
      </c>
      <c r="M189" s="156">
        <f t="shared" si="26"/>
        <v>117.48</v>
      </c>
      <c r="N189" s="157" t="str">
        <f t="shared" si="27"/>
        <v/>
      </c>
      <c r="O189" s="157">
        <f t="shared" si="28"/>
        <v>117.48</v>
      </c>
      <c r="P189" s="158" t="str">
        <f t="shared" si="29"/>
        <v/>
      </c>
      <c r="Q189" s="157" t="str">
        <f t="shared" si="30"/>
        <v/>
      </c>
      <c r="R189" s="157" t="str">
        <f t="shared" si="31"/>
        <v/>
      </c>
    </row>
    <row r="190" spans="1:18" ht="38.25" hidden="1" customHeight="1" x14ac:dyDescent="0.25">
      <c r="A190" s="273" t="s">
        <v>31</v>
      </c>
      <c r="B190" s="265" t="s">
        <v>598</v>
      </c>
      <c r="C190" s="273" t="str">
        <f>VLOOKUP(B190,INSUMOS!$A:$I,2,FALSE)</f>
        <v>SINAPI</v>
      </c>
      <c r="D190" s="273" t="str">
        <f>VLOOKUP(B190,INSUMOS!$A:$I,3,FALSE)</f>
        <v>TERMINAL A COMPRESSAO EM COBRE ESTANHADO PARA CABO 2,5 MM2, 1 FURO E 1 COMPRESSAO, PARA PARAFUSO DE FIXACAO M5</v>
      </c>
      <c r="E190" s="361" t="str">
        <f>VLOOKUP(B190,INSUMOS!$A:$I,4,FALSE)</f>
        <v>Material</v>
      </c>
      <c r="F190" s="361"/>
      <c r="G190" s="264" t="str">
        <f>VLOOKUP(B190,INSUMOS!$A:$I,5,FALSE)</f>
        <v>UN</v>
      </c>
      <c r="H190" s="267">
        <v>6</v>
      </c>
      <c r="I190" s="266">
        <f>VLOOKUP(B190,INSUMOS!$A:$I,8,FALSE)</f>
        <v>0.89</v>
      </c>
      <c r="J190" s="266">
        <f t="shared" si="33"/>
        <v>5.34</v>
      </c>
      <c r="K190" s="172"/>
      <c r="L190" s="145">
        <f t="shared" si="25"/>
        <v>19</v>
      </c>
      <c r="M190" s="156">
        <f t="shared" si="26"/>
        <v>5.34</v>
      </c>
      <c r="N190" s="157" t="str">
        <f t="shared" si="27"/>
        <v/>
      </c>
      <c r="O190" s="157">
        <f t="shared" si="28"/>
        <v>5.34</v>
      </c>
      <c r="P190" s="158" t="str">
        <f t="shared" si="29"/>
        <v/>
      </c>
      <c r="Q190" s="157" t="str">
        <f t="shared" si="30"/>
        <v/>
      </c>
      <c r="R190" s="157" t="str">
        <f t="shared" si="31"/>
        <v/>
      </c>
    </row>
    <row r="191" spans="1:18" ht="38.25" hidden="1" customHeight="1" x14ac:dyDescent="0.25">
      <c r="A191" s="273" t="s">
        <v>31</v>
      </c>
      <c r="B191" s="265" t="s">
        <v>285</v>
      </c>
      <c r="C191" s="273" t="str">
        <f>VLOOKUP(B191,INSUMOS!$A:$I,2,FALSE)</f>
        <v>SINAPI</v>
      </c>
      <c r="D191" s="273" t="str">
        <f>VLOOKUP(B191,INSUMOS!$A:$I,3,FALSE)</f>
        <v>FITA ISOLANTE ADESIVA ANTICHAMA, USO ATE 750 V, EM ROLO DE 19 MM X 5 M</v>
      </c>
      <c r="E191" s="361" t="str">
        <f>VLOOKUP(B191,INSUMOS!$A:$I,4,FALSE)</f>
        <v>Material</v>
      </c>
      <c r="F191" s="361"/>
      <c r="G191" s="264" t="str">
        <f>VLOOKUP(B191,INSUMOS!$A:$I,5,FALSE)</f>
        <v>UN</v>
      </c>
      <c r="H191" s="267">
        <v>0.2</v>
      </c>
      <c r="I191" s="266">
        <f>VLOOKUP(B191,INSUMOS!$A:$I,8,FALSE)</f>
        <v>3.6</v>
      </c>
      <c r="J191" s="266">
        <f t="shared" si="33"/>
        <v>0.72</v>
      </c>
      <c r="K191" s="172"/>
      <c r="L191" s="145">
        <f t="shared" si="25"/>
        <v>19</v>
      </c>
      <c r="M191" s="156">
        <f t="shared" si="26"/>
        <v>0.72</v>
      </c>
      <c r="N191" s="157" t="str">
        <f t="shared" si="27"/>
        <v/>
      </c>
      <c r="O191" s="157">
        <f t="shared" si="28"/>
        <v>0.72</v>
      </c>
      <c r="P191" s="158" t="str">
        <f t="shared" si="29"/>
        <v/>
      </c>
      <c r="Q191" s="157" t="str">
        <f t="shared" si="30"/>
        <v/>
      </c>
      <c r="R191" s="157" t="str">
        <f t="shared" si="31"/>
        <v/>
      </c>
    </row>
    <row r="192" spans="1:18" ht="26.4" hidden="1" x14ac:dyDescent="0.25">
      <c r="A192" s="273" t="s">
        <v>31</v>
      </c>
      <c r="B192" s="265" t="s">
        <v>271</v>
      </c>
      <c r="C192" s="273" t="str">
        <f>VLOOKUP(B192,INSUMOS!$A:$I,2,FALSE)</f>
        <v>SINAPI</v>
      </c>
      <c r="D192" s="273" t="str">
        <f>VLOOKUP(B192,INSUMOS!$A:$I,3,FALSE)</f>
        <v>CABO DE COBRE, FLEXIVEL, CLASSE 4 OU 5, ISOLACAO EM PVC/A, ANTICHAMA BWF-B, 1 CONDUTOR, 450/750 V, SECAO NOMINAL 2,5 MM2</v>
      </c>
      <c r="E192" s="361" t="str">
        <f>VLOOKUP(B192,INSUMOS!$A:$I,4,FALSE)</f>
        <v>Material</v>
      </c>
      <c r="F192" s="361"/>
      <c r="G192" s="264" t="str">
        <f>VLOOKUP(B192,INSUMOS!$A:$I,5,FALSE)</f>
        <v>M</v>
      </c>
      <c r="H192" s="267">
        <v>3</v>
      </c>
      <c r="I192" s="266">
        <f>VLOOKUP(B192,INSUMOS!$A:$I,8,FALSE)</f>
        <v>2.35</v>
      </c>
      <c r="J192" s="266">
        <f t="shared" si="33"/>
        <v>7.05</v>
      </c>
      <c r="K192" s="172"/>
      <c r="L192" s="145">
        <f t="shared" si="25"/>
        <v>19</v>
      </c>
      <c r="M192" s="156">
        <f t="shared" si="26"/>
        <v>7.05</v>
      </c>
      <c r="N192" s="157" t="str">
        <f t="shared" si="27"/>
        <v/>
      </c>
      <c r="O192" s="157">
        <f t="shared" si="28"/>
        <v>7.05</v>
      </c>
      <c r="P192" s="158" t="str">
        <f t="shared" si="29"/>
        <v/>
      </c>
      <c r="Q192" s="157" t="str">
        <f t="shared" si="30"/>
        <v/>
      </c>
      <c r="R192" s="157" t="str">
        <f t="shared" si="31"/>
        <v/>
      </c>
    </row>
    <row r="193" spans="1:18" hidden="1" x14ac:dyDescent="0.25">
      <c r="A193" s="274"/>
      <c r="B193" s="274"/>
      <c r="C193" s="274"/>
      <c r="D193" s="274"/>
      <c r="E193" s="274"/>
      <c r="F193" s="268"/>
      <c r="G193" s="274"/>
      <c r="H193" s="268"/>
      <c r="I193" s="274"/>
      <c r="J193" s="268"/>
      <c r="K193" s="172"/>
      <c r="L193" s="145">
        <f t="shared" si="25"/>
        <v>19</v>
      </c>
      <c r="M193" s="156" t="str">
        <f t="shared" si="26"/>
        <v/>
      </c>
      <c r="N193" s="157" t="str">
        <f t="shared" si="27"/>
        <v/>
      </c>
      <c r="O193" s="157" t="str">
        <f t="shared" si="28"/>
        <v/>
      </c>
      <c r="P193" s="158" t="str">
        <f t="shared" si="29"/>
        <v/>
      </c>
      <c r="Q193" s="157" t="str">
        <f t="shared" si="30"/>
        <v/>
      </c>
      <c r="R193" s="157" t="str">
        <f t="shared" si="31"/>
        <v/>
      </c>
    </row>
    <row r="194" spans="1:18" ht="15" hidden="1" customHeight="1" thickBot="1" x14ac:dyDescent="0.3">
      <c r="A194" s="274"/>
      <c r="B194" s="274"/>
      <c r="C194" s="274"/>
      <c r="D194" s="274"/>
      <c r="E194" s="274"/>
      <c r="F194" s="268"/>
      <c r="G194" s="274"/>
      <c r="H194" s="350"/>
      <c r="I194" s="350"/>
      <c r="J194" s="268"/>
      <c r="K194" s="172"/>
      <c r="L194" s="145">
        <f t="shared" si="25"/>
        <v>19</v>
      </c>
      <c r="M194" s="156" t="str">
        <f t="shared" si="26"/>
        <v/>
      </c>
      <c r="N194" s="157" t="str">
        <f t="shared" si="27"/>
        <v/>
      </c>
      <c r="O194" s="157" t="str">
        <f t="shared" si="28"/>
        <v/>
      </c>
      <c r="P194" s="158" t="str">
        <f t="shared" si="29"/>
        <v/>
      </c>
      <c r="Q194" s="157" t="str">
        <f t="shared" si="30"/>
        <v/>
      </c>
      <c r="R194" s="157" t="str">
        <f t="shared" si="31"/>
        <v/>
      </c>
    </row>
    <row r="195" spans="1:18" ht="14.4" hidden="1" thickTop="1" x14ac:dyDescent="0.25">
      <c r="A195" s="259"/>
      <c r="B195" s="259"/>
      <c r="C195" s="259"/>
      <c r="D195" s="259"/>
      <c r="E195" s="259"/>
      <c r="F195" s="259"/>
      <c r="G195" s="259"/>
      <c r="H195" s="259"/>
      <c r="I195" s="259"/>
      <c r="J195" s="259"/>
      <c r="K195" s="172"/>
      <c r="L195" s="145">
        <f t="shared" si="25"/>
        <v>20</v>
      </c>
      <c r="M195" s="156" t="str">
        <f t="shared" si="26"/>
        <v/>
      </c>
      <c r="N195" s="157" t="str">
        <f t="shared" si="27"/>
        <v/>
      </c>
      <c r="O195" s="157" t="str">
        <f t="shared" si="28"/>
        <v/>
      </c>
      <c r="P195" s="158" t="str">
        <f t="shared" si="29"/>
        <v/>
      </c>
      <c r="Q195" s="157" t="str">
        <f t="shared" si="30"/>
        <v/>
      </c>
      <c r="R195" s="157" t="str">
        <f t="shared" si="31"/>
        <v/>
      </c>
    </row>
    <row r="196" spans="1:18" hidden="1" x14ac:dyDescent="0.25">
      <c r="A196" s="270" t="s">
        <v>711</v>
      </c>
      <c r="B196" s="254" t="s">
        <v>1</v>
      </c>
      <c r="C196" s="270" t="s">
        <v>2</v>
      </c>
      <c r="D196" s="270" t="s">
        <v>3</v>
      </c>
      <c r="E196" s="347" t="s">
        <v>19</v>
      </c>
      <c r="F196" s="347"/>
      <c r="G196" s="253" t="s">
        <v>4</v>
      </c>
      <c r="H196" s="254" t="s">
        <v>5</v>
      </c>
      <c r="I196" s="254" t="s">
        <v>6</v>
      </c>
      <c r="J196" s="254" t="s">
        <v>7</v>
      </c>
      <c r="K196" s="172"/>
      <c r="L196" s="145">
        <f t="shared" si="25"/>
        <v>20</v>
      </c>
      <c r="M196" s="156" t="str">
        <f t="shared" si="26"/>
        <v/>
      </c>
      <c r="N196" s="157" t="str">
        <f t="shared" si="27"/>
        <v/>
      </c>
      <c r="O196" s="157" t="str">
        <f t="shared" si="28"/>
        <v/>
      </c>
      <c r="P196" s="158" t="str">
        <f t="shared" si="29"/>
        <v/>
      </c>
      <c r="Q196" s="157" t="str">
        <f t="shared" si="30"/>
        <v/>
      </c>
      <c r="R196" s="157" t="str">
        <f t="shared" si="31"/>
        <v/>
      </c>
    </row>
    <row r="197" spans="1:18" ht="26.4" hidden="1" x14ac:dyDescent="0.25">
      <c r="A197" s="271" t="s">
        <v>20</v>
      </c>
      <c r="B197" s="256" t="s">
        <v>712</v>
      </c>
      <c r="C197" s="271" t="s">
        <v>13</v>
      </c>
      <c r="D197" s="271" t="s">
        <v>713</v>
      </c>
      <c r="E197" s="362" t="s">
        <v>315</v>
      </c>
      <c r="F197" s="362"/>
      <c r="G197" s="255" t="s">
        <v>375</v>
      </c>
      <c r="H197" s="258">
        <v>1</v>
      </c>
      <c r="I197" s="257">
        <f>SUMIF(L:L,$L197,M:M)</f>
        <v>81.42</v>
      </c>
      <c r="J197" s="257">
        <f t="shared" ref="J197:J210" si="34">TRUNC(H197*I197,2)</f>
        <v>81.42</v>
      </c>
      <c r="K197" s="172"/>
      <c r="L197" s="145">
        <f t="shared" si="25"/>
        <v>20</v>
      </c>
      <c r="M197" s="156" t="str">
        <f t="shared" si="26"/>
        <v/>
      </c>
      <c r="N197" s="157" t="str">
        <f t="shared" si="27"/>
        <v/>
      </c>
      <c r="O197" s="157" t="str">
        <f t="shared" si="28"/>
        <v/>
      </c>
      <c r="P197" s="158" t="str">
        <f t="shared" si="29"/>
        <v xml:space="preserve"> S-ELE-SFCR-PGR-31 </v>
      </c>
      <c r="Q197" s="157">
        <f t="shared" si="30"/>
        <v>0</v>
      </c>
      <c r="R197" s="157">
        <f t="shared" si="31"/>
        <v>81.42</v>
      </c>
    </row>
    <row r="198" spans="1:18" ht="15" hidden="1" customHeight="1" x14ac:dyDescent="0.25">
      <c r="A198" s="272" t="s">
        <v>22</v>
      </c>
      <c r="B198" s="261" t="s">
        <v>714</v>
      </c>
      <c r="C198" s="272" t="s">
        <v>10</v>
      </c>
      <c r="D198" s="272" t="s">
        <v>715</v>
      </c>
      <c r="E198" s="363" t="s">
        <v>27</v>
      </c>
      <c r="F198" s="363"/>
      <c r="G198" s="260" t="s">
        <v>28</v>
      </c>
      <c r="H198" s="263">
        <v>0.26119999999999999</v>
      </c>
      <c r="I198" s="262">
        <f>SUMIFS(J:J,A:A,"Composição",B:B,$B198)</f>
        <v>18.21</v>
      </c>
      <c r="J198" s="262">
        <f t="shared" si="34"/>
        <v>4.75</v>
      </c>
      <c r="K198" s="172"/>
      <c r="L198" s="145">
        <f t="shared" si="25"/>
        <v>20</v>
      </c>
      <c r="M198" s="156">
        <f t="shared" si="26"/>
        <v>4.75</v>
      </c>
      <c r="N198" s="157" t="str">
        <f t="shared" si="27"/>
        <v/>
      </c>
      <c r="O198" s="157">
        <f t="shared" si="28"/>
        <v>4.75</v>
      </c>
      <c r="P198" s="158" t="str">
        <f t="shared" si="29"/>
        <v/>
      </c>
      <c r="Q198" s="157" t="str">
        <f t="shared" si="30"/>
        <v/>
      </c>
      <c r="R198" s="157" t="str">
        <f t="shared" si="31"/>
        <v/>
      </c>
    </row>
    <row r="199" spans="1:18" ht="26.4" hidden="1" x14ac:dyDescent="0.25">
      <c r="A199" s="272" t="s">
        <v>22</v>
      </c>
      <c r="B199" s="261" t="s">
        <v>29</v>
      </c>
      <c r="C199" s="272" t="s">
        <v>10</v>
      </c>
      <c r="D199" s="272" t="s">
        <v>30</v>
      </c>
      <c r="E199" s="363" t="s">
        <v>27</v>
      </c>
      <c r="F199" s="363"/>
      <c r="G199" s="260" t="s">
        <v>28</v>
      </c>
      <c r="H199" s="263">
        <v>0.62790000000000001</v>
      </c>
      <c r="I199" s="262">
        <f>SUMIFS(J:J,A:A,"Composição",B:B,$B199)</f>
        <v>17.61</v>
      </c>
      <c r="J199" s="262">
        <f t="shared" si="34"/>
        <v>11.05</v>
      </c>
      <c r="K199" s="172"/>
      <c r="L199" s="145">
        <f t="shared" si="25"/>
        <v>20</v>
      </c>
      <c r="M199" s="156">
        <f t="shared" si="26"/>
        <v>11.05</v>
      </c>
      <c r="N199" s="157" t="str">
        <f t="shared" si="27"/>
        <v/>
      </c>
      <c r="O199" s="157">
        <f t="shared" si="28"/>
        <v>11.05</v>
      </c>
      <c r="P199" s="158" t="str">
        <f t="shared" si="29"/>
        <v/>
      </c>
      <c r="Q199" s="157" t="str">
        <f t="shared" si="30"/>
        <v/>
      </c>
      <c r="R199" s="157" t="str">
        <f t="shared" si="31"/>
        <v/>
      </c>
    </row>
    <row r="200" spans="1:18" ht="26.4" hidden="1" x14ac:dyDescent="0.25">
      <c r="A200" s="272" t="s">
        <v>22</v>
      </c>
      <c r="B200" s="261" t="s">
        <v>53</v>
      </c>
      <c r="C200" s="272" t="s">
        <v>10</v>
      </c>
      <c r="D200" s="272" t="s">
        <v>54</v>
      </c>
      <c r="E200" s="363" t="s">
        <v>27</v>
      </c>
      <c r="F200" s="363"/>
      <c r="G200" s="260" t="s">
        <v>28</v>
      </c>
      <c r="H200" s="263">
        <v>0.96699999999999997</v>
      </c>
      <c r="I200" s="262">
        <f>SUMIFS(J:J,A:A,"Composição",B:B,$B200)</f>
        <v>24.89</v>
      </c>
      <c r="J200" s="262">
        <f t="shared" si="34"/>
        <v>24.06</v>
      </c>
      <c r="K200" s="172"/>
      <c r="L200" s="145">
        <f t="shared" si="25"/>
        <v>20</v>
      </c>
      <c r="M200" s="156">
        <f t="shared" si="26"/>
        <v>24.06</v>
      </c>
      <c r="N200" s="157" t="str">
        <f t="shared" si="27"/>
        <v/>
      </c>
      <c r="O200" s="157">
        <f t="shared" si="28"/>
        <v>24.06</v>
      </c>
      <c r="P200" s="158" t="str">
        <f t="shared" si="29"/>
        <v/>
      </c>
      <c r="Q200" s="157" t="str">
        <f t="shared" si="30"/>
        <v/>
      </c>
      <c r="R200" s="157" t="str">
        <f t="shared" si="31"/>
        <v/>
      </c>
    </row>
    <row r="201" spans="1:18" ht="25.5" hidden="1" customHeight="1" x14ac:dyDescent="0.25">
      <c r="A201" s="273" t="s">
        <v>31</v>
      </c>
      <c r="B201" s="265" t="s">
        <v>553</v>
      </c>
      <c r="C201" s="273" t="str">
        <f>VLOOKUP(B201,INSUMOS!$A:$I,2,FALSE)</f>
        <v>SINAPI</v>
      </c>
      <c r="D201" s="273" t="str">
        <f>VLOOKUP(B201,INSUMOS!$A:$I,3,FALSE)</f>
        <v>PLACA / CHAPA DE GESSO ACARTONADO, STANDARD (ST), COR BRANCA, E = 12,5 MM, 1200 X 2400 MM (L X C)</v>
      </c>
      <c r="E201" s="361" t="str">
        <f>VLOOKUP(B201,INSUMOS!$A:$I,4,FALSE)</f>
        <v>Material</v>
      </c>
      <c r="F201" s="361"/>
      <c r="G201" s="264" t="str">
        <f>VLOOKUP(B201,INSUMOS!$A:$I,5,FALSE)</f>
        <v>m²</v>
      </c>
      <c r="H201" s="267">
        <v>0.4</v>
      </c>
      <c r="I201" s="266">
        <f>VLOOKUP(B201,INSUMOS!$A:$I,8,FALSE)</f>
        <v>13.05</v>
      </c>
      <c r="J201" s="266">
        <f t="shared" si="34"/>
        <v>5.22</v>
      </c>
      <c r="K201" s="172"/>
      <c r="L201" s="145">
        <f t="shared" si="25"/>
        <v>20</v>
      </c>
      <c r="M201" s="156">
        <f t="shared" si="26"/>
        <v>5.22</v>
      </c>
      <c r="N201" s="157" t="str">
        <f t="shared" si="27"/>
        <v/>
      </c>
      <c r="O201" s="157">
        <f t="shared" si="28"/>
        <v>5.22</v>
      </c>
      <c r="P201" s="158" t="str">
        <f t="shared" si="29"/>
        <v/>
      </c>
      <c r="Q201" s="157" t="str">
        <f t="shared" si="30"/>
        <v/>
      </c>
      <c r="R201" s="157" t="str">
        <f t="shared" si="31"/>
        <v/>
      </c>
    </row>
    <row r="202" spans="1:18" ht="38.25" hidden="1" customHeight="1" x14ac:dyDescent="0.25">
      <c r="A202" s="273" t="s">
        <v>31</v>
      </c>
      <c r="B202" s="265" t="s">
        <v>527</v>
      </c>
      <c r="C202" s="273" t="str">
        <f>VLOOKUP(B202,INSUMOS!$A:$I,2,FALSE)</f>
        <v>SINAPI</v>
      </c>
      <c r="D202" s="273" t="str">
        <f>VLOOKUP(B202,INSUMOS!$A:$I,3,FALSE)</f>
        <v>PERFIL CANALETA, FORMATO C, EM ACO ZINCADO, PARA ESTRUTURA FORRO DRYWALL, E = 0,5 MM, *46 X 18* (L X H), COMPRIMENTO 3 M</v>
      </c>
      <c r="E202" s="361" t="str">
        <f>VLOOKUP(B202,INSUMOS!$A:$I,4,FALSE)</f>
        <v>Material</v>
      </c>
      <c r="F202" s="361"/>
      <c r="G202" s="264" t="str">
        <f>VLOOKUP(B202,INSUMOS!$A:$I,5,FALSE)</f>
        <v>M</v>
      </c>
      <c r="H202" s="267">
        <v>1.8</v>
      </c>
      <c r="I202" s="266">
        <f>VLOOKUP(B202,INSUMOS!$A:$I,8,FALSE)</f>
        <v>5.95</v>
      </c>
      <c r="J202" s="266">
        <f t="shared" si="34"/>
        <v>10.71</v>
      </c>
      <c r="K202" s="172"/>
      <c r="L202" s="145">
        <f t="shared" si="25"/>
        <v>20</v>
      </c>
      <c r="M202" s="156">
        <f t="shared" si="26"/>
        <v>10.71</v>
      </c>
      <c r="N202" s="157" t="str">
        <f t="shared" si="27"/>
        <v/>
      </c>
      <c r="O202" s="157">
        <f t="shared" si="28"/>
        <v>10.71</v>
      </c>
      <c r="P202" s="158" t="str">
        <f t="shared" si="29"/>
        <v/>
      </c>
      <c r="Q202" s="157" t="str">
        <f t="shared" si="30"/>
        <v/>
      </c>
      <c r="R202" s="157" t="str">
        <f t="shared" si="31"/>
        <v/>
      </c>
    </row>
    <row r="203" spans="1:18" ht="38.25" hidden="1" customHeight="1" x14ac:dyDescent="0.25">
      <c r="A203" s="273" t="s">
        <v>31</v>
      </c>
      <c r="B203" s="265" t="s">
        <v>558</v>
      </c>
      <c r="C203" s="273" t="str">
        <f>VLOOKUP(B203,INSUMOS!$A:$I,2,FALSE)</f>
        <v>SINAPI</v>
      </c>
      <c r="D203" s="273" t="str">
        <f>VLOOKUP(B203,INSUMOS!$A:$I,3,FALSE)</f>
        <v>FITA DE PAPEL REFORCADA COM LAMINA DE METAL PARA REFORCO DE CANTOS DE CHAPA DE GESSO PARA DRYWALL</v>
      </c>
      <c r="E203" s="361" t="str">
        <f>VLOOKUP(B203,INSUMOS!$A:$I,4,FALSE)</f>
        <v>Material</v>
      </c>
      <c r="F203" s="361"/>
      <c r="G203" s="264" t="str">
        <f>VLOOKUP(B203,INSUMOS!$A:$I,5,FALSE)</f>
        <v>M</v>
      </c>
      <c r="H203" s="267">
        <v>2.4</v>
      </c>
      <c r="I203" s="266">
        <f>VLOOKUP(B203,INSUMOS!$A:$I,8,FALSE)</f>
        <v>1.93</v>
      </c>
      <c r="J203" s="266">
        <f t="shared" si="34"/>
        <v>4.63</v>
      </c>
      <c r="K203" s="172"/>
      <c r="L203" s="145">
        <f t="shared" si="25"/>
        <v>20</v>
      </c>
      <c r="M203" s="156">
        <f t="shared" si="26"/>
        <v>4.63</v>
      </c>
      <c r="N203" s="157" t="str">
        <f t="shared" si="27"/>
        <v/>
      </c>
      <c r="O203" s="157">
        <f t="shared" si="28"/>
        <v>4.63</v>
      </c>
      <c r="P203" s="158" t="str">
        <f t="shared" si="29"/>
        <v/>
      </c>
      <c r="Q203" s="157" t="str">
        <f t="shared" si="30"/>
        <v/>
      </c>
      <c r="R203" s="157" t="str">
        <f t="shared" si="31"/>
        <v/>
      </c>
    </row>
    <row r="204" spans="1:18" ht="39.6" hidden="1" x14ac:dyDescent="0.25">
      <c r="A204" s="273" t="s">
        <v>31</v>
      </c>
      <c r="B204" s="265" t="s">
        <v>583</v>
      </c>
      <c r="C204" s="273" t="str">
        <f>VLOOKUP(B204,INSUMOS!$A:$I,2,FALSE)</f>
        <v>SINAPI</v>
      </c>
      <c r="D204" s="273" t="str">
        <f>VLOOKUP(B204,INSUMOS!$A:$I,3,FALSE)</f>
        <v>MASSA DE REJUNTE EM PO PARA DRYWALL, A BASE DE GESSO, SECAGEM RAPIDA, PARA TRATAMENTO DE JUNTAS DE CHAPA DE GESSO (NECESSITA ADICAO DE AGUA)</v>
      </c>
      <c r="E204" s="361" t="str">
        <f>VLOOKUP(B204,INSUMOS!$A:$I,4,FALSE)</f>
        <v>Equipamento</v>
      </c>
      <c r="F204" s="361"/>
      <c r="G204" s="264" t="str">
        <f>VLOOKUP(B204,INSUMOS!$A:$I,5,FALSE)</f>
        <v>KG</v>
      </c>
      <c r="H204" s="267">
        <v>1</v>
      </c>
      <c r="I204" s="266">
        <f>VLOOKUP(B204,INSUMOS!$A:$I,8,FALSE)</f>
        <v>2.59</v>
      </c>
      <c r="J204" s="266">
        <f t="shared" si="34"/>
        <v>2.59</v>
      </c>
      <c r="K204" s="172"/>
      <c r="L204" s="145">
        <f t="shared" si="25"/>
        <v>20</v>
      </c>
      <c r="M204" s="156">
        <f t="shared" si="26"/>
        <v>2.59</v>
      </c>
      <c r="N204" s="157" t="str">
        <f t="shared" si="27"/>
        <v/>
      </c>
      <c r="O204" s="157">
        <f t="shared" si="28"/>
        <v>2.59</v>
      </c>
      <c r="P204" s="158" t="str">
        <f t="shared" si="29"/>
        <v/>
      </c>
      <c r="Q204" s="157" t="str">
        <f t="shared" si="30"/>
        <v/>
      </c>
      <c r="R204" s="157" t="str">
        <f t="shared" si="31"/>
        <v/>
      </c>
    </row>
    <row r="205" spans="1:18" ht="15" hidden="1" customHeight="1" x14ac:dyDescent="0.25">
      <c r="A205" s="273" t="s">
        <v>31</v>
      </c>
      <c r="B205" s="265" t="s">
        <v>611</v>
      </c>
      <c r="C205" s="273" t="str">
        <f>VLOOKUP(B205,INSUMOS!$A:$I,2,FALSE)</f>
        <v>SINAPI</v>
      </c>
      <c r="D205" s="273" t="str">
        <f>VLOOKUP(B205,INSUMOS!$A:$I,3,FALSE)</f>
        <v>PARAFUSO DRY WALL, EM ACO FOSFATIZADO, CABECA TROMBETA E PONTA AGULHA (TA), COMPRIMENTO 25 MM</v>
      </c>
      <c r="E205" s="361" t="str">
        <f>VLOOKUP(B205,INSUMOS!$A:$I,4,FALSE)</f>
        <v>Material</v>
      </c>
      <c r="F205" s="361"/>
      <c r="G205" s="264" t="str">
        <f>VLOOKUP(B205,INSUMOS!$A:$I,5,FALSE)</f>
        <v>UN</v>
      </c>
      <c r="H205" s="267">
        <v>18</v>
      </c>
      <c r="I205" s="266">
        <f>VLOOKUP(B205,INSUMOS!$A:$I,8,FALSE)</f>
        <v>0.06</v>
      </c>
      <c r="J205" s="266">
        <f t="shared" si="34"/>
        <v>1.08</v>
      </c>
      <c r="K205" s="172"/>
      <c r="L205" s="145">
        <f t="shared" si="25"/>
        <v>20</v>
      </c>
      <c r="M205" s="156">
        <f t="shared" si="26"/>
        <v>1.08</v>
      </c>
      <c r="N205" s="157" t="str">
        <f t="shared" si="27"/>
        <v/>
      </c>
      <c r="O205" s="157">
        <f t="shared" si="28"/>
        <v>1.08</v>
      </c>
      <c r="P205" s="158" t="str">
        <f t="shared" si="29"/>
        <v/>
      </c>
      <c r="Q205" s="157" t="str">
        <f t="shared" si="30"/>
        <v/>
      </c>
      <c r="R205" s="157" t="str">
        <f t="shared" si="31"/>
        <v/>
      </c>
    </row>
    <row r="206" spans="1:18" ht="26.4" hidden="1" x14ac:dyDescent="0.25">
      <c r="A206" s="273" t="s">
        <v>31</v>
      </c>
      <c r="B206" s="265" t="s">
        <v>627</v>
      </c>
      <c r="C206" s="273" t="str">
        <f>VLOOKUP(B206,INSUMOS!$A:$I,2,FALSE)</f>
        <v>SINAPI</v>
      </c>
      <c r="D206" s="273" t="str">
        <f>VLOOKUP(B206,INSUMOS!$A:$I,3,FALSE)</f>
        <v>LIXA EM FOLHA PARA PAREDE OU MADEIRA, NUMERO 120 (COR VERMELHA)</v>
      </c>
      <c r="E206" s="361" t="str">
        <f>VLOOKUP(B206,INSUMOS!$A:$I,4,FALSE)</f>
        <v>Material</v>
      </c>
      <c r="F206" s="361"/>
      <c r="G206" s="264" t="str">
        <f>VLOOKUP(B206,INSUMOS!$A:$I,5,FALSE)</f>
        <v>UN</v>
      </c>
      <c r="H206" s="267">
        <v>0.1</v>
      </c>
      <c r="I206" s="266">
        <f>VLOOKUP(B206,INSUMOS!$A:$I,8,FALSE)</f>
        <v>0.7</v>
      </c>
      <c r="J206" s="266">
        <f t="shared" si="34"/>
        <v>7.0000000000000007E-2</v>
      </c>
      <c r="K206" s="172"/>
      <c r="L206" s="145">
        <f t="shared" si="25"/>
        <v>20</v>
      </c>
      <c r="M206" s="156">
        <f t="shared" si="26"/>
        <v>7.0000000000000007E-2</v>
      </c>
      <c r="N206" s="157" t="str">
        <f t="shared" si="27"/>
        <v/>
      </c>
      <c r="O206" s="157">
        <f t="shared" si="28"/>
        <v>7.0000000000000007E-2</v>
      </c>
      <c r="P206" s="158" t="str">
        <f t="shared" si="29"/>
        <v/>
      </c>
      <c r="Q206" s="157" t="str">
        <f t="shared" si="30"/>
        <v/>
      </c>
      <c r="R206" s="157" t="str">
        <f t="shared" si="31"/>
        <v/>
      </c>
    </row>
    <row r="207" spans="1:18" ht="26.4" hidden="1" x14ac:dyDescent="0.25">
      <c r="A207" s="273" t="s">
        <v>31</v>
      </c>
      <c r="B207" s="265" t="s">
        <v>561</v>
      </c>
      <c r="C207" s="273" t="str">
        <f>VLOOKUP(B207,INSUMOS!$A:$I,2,FALSE)</f>
        <v>SINAPI</v>
      </c>
      <c r="D207" s="273" t="str">
        <f>VLOOKUP(B207,INSUMOS!$A:$I,3,FALSE)</f>
        <v>!EM PROCESSO DE DESATIVACAO! MASSA CORRIDA PVA PARA PAREDES INTERNAS</v>
      </c>
      <c r="E207" s="361" t="str">
        <f>VLOOKUP(B207,INSUMOS!$A:$I,4,FALSE)</f>
        <v>Material</v>
      </c>
      <c r="F207" s="361"/>
      <c r="G207" s="264" t="str">
        <f>VLOOKUP(B207,INSUMOS!$A:$I,5,FALSE)</f>
        <v>GL</v>
      </c>
      <c r="H207" s="267">
        <v>0.2445</v>
      </c>
      <c r="I207" s="266">
        <f>VLOOKUP(B207,INSUMOS!$A:$I,8,FALSE)</f>
        <v>15.98</v>
      </c>
      <c r="J207" s="266">
        <f t="shared" si="34"/>
        <v>3.9</v>
      </c>
      <c r="K207" s="172"/>
      <c r="L207" s="145">
        <f t="shared" si="25"/>
        <v>20</v>
      </c>
      <c r="M207" s="156">
        <f t="shared" si="26"/>
        <v>3.9</v>
      </c>
      <c r="N207" s="157" t="str">
        <f t="shared" si="27"/>
        <v/>
      </c>
      <c r="O207" s="157">
        <f t="shared" si="28"/>
        <v>3.9</v>
      </c>
      <c r="P207" s="158" t="str">
        <f t="shared" si="29"/>
        <v/>
      </c>
      <c r="Q207" s="157" t="str">
        <f t="shared" si="30"/>
        <v/>
      </c>
      <c r="R207" s="157" t="str">
        <f t="shared" si="31"/>
        <v/>
      </c>
    </row>
    <row r="208" spans="1:18" hidden="1" x14ac:dyDescent="0.25">
      <c r="A208" s="273" t="s">
        <v>31</v>
      </c>
      <c r="B208" s="265" t="s">
        <v>543</v>
      </c>
      <c r="C208" s="273" t="str">
        <f>VLOOKUP(B208,INSUMOS!$A:$I,2,FALSE)</f>
        <v>SINAPI</v>
      </c>
      <c r="D208" s="273" t="str">
        <f>VLOOKUP(B208,INSUMOS!$A:$I,3,FALSE)</f>
        <v>TINTA ACRILICA PREMIUM, COR BRANCO FOSCO</v>
      </c>
      <c r="E208" s="361" t="str">
        <f>VLOOKUP(B208,INSUMOS!$A:$I,4,FALSE)</f>
        <v>Material</v>
      </c>
      <c r="F208" s="361"/>
      <c r="G208" s="264" t="str">
        <f>VLOOKUP(B208,INSUMOS!$A:$I,5,FALSE)</f>
        <v>L</v>
      </c>
      <c r="H208" s="267">
        <v>0.33</v>
      </c>
      <c r="I208" s="266">
        <f>VLOOKUP(B208,INSUMOS!$A:$I,8,FALSE)</f>
        <v>21.84</v>
      </c>
      <c r="J208" s="266">
        <f t="shared" si="34"/>
        <v>7.2</v>
      </c>
      <c r="K208" s="172"/>
      <c r="L208" s="145">
        <f t="shared" si="25"/>
        <v>20</v>
      </c>
      <c r="M208" s="156">
        <f t="shared" si="26"/>
        <v>7.2</v>
      </c>
      <c r="N208" s="157" t="str">
        <f t="shared" si="27"/>
        <v/>
      </c>
      <c r="O208" s="157">
        <f t="shared" si="28"/>
        <v>7.2</v>
      </c>
      <c r="P208" s="158" t="str">
        <f t="shared" si="29"/>
        <v/>
      </c>
      <c r="Q208" s="157" t="str">
        <f t="shared" si="30"/>
        <v/>
      </c>
      <c r="R208" s="157" t="str">
        <f t="shared" si="31"/>
        <v/>
      </c>
    </row>
    <row r="209" spans="1:18" hidden="1" x14ac:dyDescent="0.25">
      <c r="A209" s="273" t="s">
        <v>31</v>
      </c>
      <c r="B209" s="265" t="s">
        <v>605</v>
      </c>
      <c r="C209" s="273" t="str">
        <f>VLOOKUP(B209,INSUMOS!$A:$I,2,FALSE)</f>
        <v>SINAPI</v>
      </c>
      <c r="D209" s="273" t="str">
        <f>VLOOKUP(B209,INSUMOS!$A:$I,3,FALSE)</f>
        <v>SELADOR ACRILICO PAREDES INTERNAS/EXTERNAS</v>
      </c>
      <c r="E209" s="361" t="str">
        <f>VLOOKUP(B209,INSUMOS!$A:$I,4,FALSE)</f>
        <v>Material</v>
      </c>
      <c r="F209" s="361"/>
      <c r="G209" s="264" t="str">
        <f>VLOOKUP(B209,INSUMOS!$A:$I,5,FALSE)</f>
        <v>L</v>
      </c>
      <c r="H209" s="267">
        <v>0.16</v>
      </c>
      <c r="I209" s="266">
        <f>VLOOKUP(B209,INSUMOS!$A:$I,8,FALSE)</f>
        <v>8.06</v>
      </c>
      <c r="J209" s="266">
        <f t="shared" si="34"/>
        <v>1.28</v>
      </c>
      <c r="K209" s="172"/>
      <c r="L209" s="145">
        <f t="shared" ref="L209:L272" si="35">IF(AND(A210&lt;&gt;"",A209=""),L208+1,L208)</f>
        <v>20</v>
      </c>
      <c r="M209" s="156">
        <f t="shared" ref="M209:M272" si="36">IF(OR(A209="Insumo",A209="Composição Auxiliar"),J209,"")</f>
        <v>1.28</v>
      </c>
      <c r="N209" s="157" t="str">
        <f t="shared" ref="N209:N272" si="37">IF(E209="Mão de Obra",J209,"")</f>
        <v/>
      </c>
      <c r="O209" s="157">
        <f t="shared" ref="O209:O272" si="38">IF(N209&lt;&gt;"","",M209)</f>
        <v>1.28</v>
      </c>
      <c r="P209" s="158" t="str">
        <f t="shared" ref="P209:P272" si="39">IF(A209="Composição",B209,"")</f>
        <v/>
      </c>
      <c r="Q209" s="157" t="str">
        <f t="shared" ref="Q209:Q272" si="40">IF(P209&lt;&gt;"",SUMIF(L209:L309,L209,N209:N309),"")</f>
        <v/>
      </c>
      <c r="R209" s="157" t="str">
        <f t="shared" ref="R209:R272" si="41">IF(P209&lt;&gt;"",SUMIF(L209:L309,L209,O209:O309),"")</f>
        <v/>
      </c>
    </row>
    <row r="210" spans="1:18" ht="15" hidden="1" customHeight="1" x14ac:dyDescent="0.25">
      <c r="A210" s="273" t="s">
        <v>31</v>
      </c>
      <c r="B210" s="265" t="s">
        <v>368</v>
      </c>
      <c r="C210" s="273" t="str">
        <f>VLOOKUP(B210,INSUMOS!$A:$I,2,FALSE)</f>
        <v>SINAPI</v>
      </c>
      <c r="D210" s="273" t="str">
        <f>VLOOKUP(B210,INSUMOS!$A:$I,3,FALSE)</f>
        <v>LONA PLASTICA EXTRA FORTE PRETA, E = 200 MICRA</v>
      </c>
      <c r="E210" s="361" t="str">
        <f>VLOOKUP(B210,INSUMOS!$A:$I,4,FALSE)</f>
        <v>Material</v>
      </c>
      <c r="F210" s="361"/>
      <c r="G210" s="264" t="str">
        <f>VLOOKUP(B210,INSUMOS!$A:$I,5,FALSE)</f>
        <v>m²</v>
      </c>
      <c r="H210" s="267">
        <v>4</v>
      </c>
      <c r="I210" s="266">
        <f>VLOOKUP(B210,INSUMOS!$A:$I,8,FALSE)</f>
        <v>1.22</v>
      </c>
      <c r="J210" s="266">
        <f t="shared" si="34"/>
        <v>4.88</v>
      </c>
      <c r="K210" s="172"/>
      <c r="L210" s="145">
        <f t="shared" si="35"/>
        <v>20</v>
      </c>
      <c r="M210" s="156">
        <f t="shared" si="36"/>
        <v>4.88</v>
      </c>
      <c r="N210" s="157" t="str">
        <f t="shared" si="37"/>
        <v/>
      </c>
      <c r="O210" s="157">
        <f t="shared" si="38"/>
        <v>4.88</v>
      </c>
      <c r="P210" s="158" t="str">
        <f t="shared" si="39"/>
        <v/>
      </c>
      <c r="Q210" s="157" t="str">
        <f t="shared" si="40"/>
        <v/>
      </c>
      <c r="R210" s="157" t="str">
        <f t="shared" si="41"/>
        <v/>
      </c>
    </row>
    <row r="211" spans="1:18" hidden="1" x14ac:dyDescent="0.25">
      <c r="A211" s="274"/>
      <c r="B211" s="274"/>
      <c r="C211" s="274"/>
      <c r="D211" s="274"/>
      <c r="E211" s="274"/>
      <c r="F211" s="268"/>
      <c r="G211" s="274"/>
      <c r="H211" s="268"/>
      <c r="I211" s="274"/>
      <c r="J211" s="268"/>
      <c r="K211" s="172"/>
      <c r="L211" s="145">
        <f t="shared" si="35"/>
        <v>20</v>
      </c>
      <c r="M211" s="156" t="str">
        <f t="shared" si="36"/>
        <v/>
      </c>
      <c r="N211" s="157" t="str">
        <f t="shared" si="37"/>
        <v/>
      </c>
      <c r="O211" s="157" t="str">
        <f t="shared" si="38"/>
        <v/>
      </c>
      <c r="P211" s="158" t="str">
        <f t="shared" si="39"/>
        <v/>
      </c>
      <c r="Q211" s="157" t="str">
        <f t="shared" si="40"/>
        <v/>
      </c>
      <c r="R211" s="157" t="str">
        <f t="shared" si="41"/>
        <v/>
      </c>
    </row>
    <row r="212" spans="1:18" ht="14.4" hidden="1" thickBot="1" x14ac:dyDescent="0.3">
      <c r="A212" s="274"/>
      <c r="B212" s="274"/>
      <c r="C212" s="274"/>
      <c r="D212" s="274"/>
      <c r="E212" s="274"/>
      <c r="F212" s="268"/>
      <c r="G212" s="274"/>
      <c r="H212" s="350"/>
      <c r="I212" s="350"/>
      <c r="J212" s="268"/>
      <c r="K212" s="172"/>
      <c r="L212" s="145">
        <f t="shared" si="35"/>
        <v>20</v>
      </c>
      <c r="M212" s="156" t="str">
        <f t="shared" si="36"/>
        <v/>
      </c>
      <c r="N212" s="157" t="str">
        <f t="shared" si="37"/>
        <v/>
      </c>
      <c r="O212" s="157" t="str">
        <f t="shared" si="38"/>
        <v/>
      </c>
      <c r="P212" s="158" t="str">
        <f t="shared" si="39"/>
        <v/>
      </c>
      <c r="Q212" s="157" t="str">
        <f t="shared" si="40"/>
        <v/>
      </c>
      <c r="R212" s="157" t="str">
        <f t="shared" si="41"/>
        <v/>
      </c>
    </row>
    <row r="213" spans="1:18" ht="25.5" hidden="1" customHeight="1" thickTop="1" x14ac:dyDescent="0.25">
      <c r="A213" s="259"/>
      <c r="B213" s="259"/>
      <c r="C213" s="259"/>
      <c r="D213" s="259"/>
      <c r="E213" s="259"/>
      <c r="F213" s="259"/>
      <c r="G213" s="259"/>
      <c r="H213" s="259"/>
      <c r="I213" s="259"/>
      <c r="J213" s="259"/>
      <c r="K213" s="172"/>
      <c r="L213" s="145">
        <f t="shared" si="35"/>
        <v>21</v>
      </c>
      <c r="M213" s="156" t="str">
        <f t="shared" si="36"/>
        <v/>
      </c>
      <c r="N213" s="157" t="str">
        <f t="shared" si="37"/>
        <v/>
      </c>
      <c r="O213" s="157" t="str">
        <f t="shared" si="38"/>
        <v/>
      </c>
      <c r="P213" s="158" t="str">
        <f t="shared" si="39"/>
        <v/>
      </c>
      <c r="Q213" s="157" t="str">
        <f t="shared" si="40"/>
        <v/>
      </c>
      <c r="R213" s="157" t="str">
        <f t="shared" si="41"/>
        <v/>
      </c>
    </row>
    <row r="214" spans="1:18" hidden="1" x14ac:dyDescent="0.25">
      <c r="A214" s="270" t="s">
        <v>716</v>
      </c>
      <c r="B214" s="254" t="s">
        <v>1</v>
      </c>
      <c r="C214" s="270" t="s">
        <v>2</v>
      </c>
      <c r="D214" s="270" t="s">
        <v>3</v>
      </c>
      <c r="E214" s="347" t="s">
        <v>19</v>
      </c>
      <c r="F214" s="347"/>
      <c r="G214" s="253" t="s">
        <v>4</v>
      </c>
      <c r="H214" s="254" t="s">
        <v>5</v>
      </c>
      <c r="I214" s="254" t="s">
        <v>6</v>
      </c>
      <c r="J214" s="254" t="s">
        <v>7</v>
      </c>
      <c r="K214" s="172"/>
      <c r="L214" s="145">
        <f t="shared" si="35"/>
        <v>21</v>
      </c>
      <c r="M214" s="156" t="str">
        <f t="shared" si="36"/>
        <v/>
      </c>
      <c r="N214" s="157" t="str">
        <f t="shared" si="37"/>
        <v/>
      </c>
      <c r="O214" s="157" t="str">
        <f t="shared" si="38"/>
        <v/>
      </c>
      <c r="P214" s="158" t="str">
        <f t="shared" si="39"/>
        <v/>
      </c>
      <c r="Q214" s="157" t="str">
        <f t="shared" si="40"/>
        <v/>
      </c>
      <c r="R214" s="157" t="str">
        <f t="shared" si="41"/>
        <v/>
      </c>
    </row>
    <row r="215" spans="1:18" ht="26.4" hidden="1" x14ac:dyDescent="0.25">
      <c r="A215" s="271" t="s">
        <v>20</v>
      </c>
      <c r="B215" s="256" t="s">
        <v>717</v>
      </c>
      <c r="C215" s="271" t="s">
        <v>13</v>
      </c>
      <c r="D215" s="271" t="s">
        <v>718</v>
      </c>
      <c r="E215" s="362" t="s">
        <v>315</v>
      </c>
      <c r="F215" s="362"/>
      <c r="G215" s="255" t="s">
        <v>719</v>
      </c>
      <c r="H215" s="258">
        <v>1</v>
      </c>
      <c r="I215" s="257">
        <f>SUMIF(L:L,$L215,M:M)</f>
        <v>61.17</v>
      </c>
      <c r="J215" s="257">
        <f>TRUNC(H215*I215,2)</f>
        <v>61.17</v>
      </c>
      <c r="K215" s="172"/>
      <c r="L215" s="145">
        <f t="shared" si="35"/>
        <v>21</v>
      </c>
      <c r="M215" s="156" t="str">
        <f t="shared" si="36"/>
        <v/>
      </c>
      <c r="N215" s="157" t="str">
        <f t="shared" si="37"/>
        <v/>
      </c>
      <c r="O215" s="157" t="str">
        <f t="shared" si="38"/>
        <v/>
      </c>
      <c r="P215" s="158" t="str">
        <f t="shared" si="39"/>
        <v xml:space="preserve"> S-ELE-SFCR-PGR-20 </v>
      </c>
      <c r="Q215" s="157">
        <f t="shared" si="40"/>
        <v>0</v>
      </c>
      <c r="R215" s="157">
        <f t="shared" si="41"/>
        <v>61.17</v>
      </c>
    </row>
    <row r="216" spans="1:18" ht="15" hidden="1" customHeight="1" x14ac:dyDescent="0.25">
      <c r="A216" s="272" t="s">
        <v>22</v>
      </c>
      <c r="B216" s="261" t="s">
        <v>650</v>
      </c>
      <c r="C216" s="272" t="s">
        <v>10</v>
      </c>
      <c r="D216" s="272" t="s">
        <v>651</v>
      </c>
      <c r="E216" s="363" t="s">
        <v>27</v>
      </c>
      <c r="F216" s="363"/>
      <c r="G216" s="260" t="s">
        <v>28</v>
      </c>
      <c r="H216" s="263">
        <v>0.5</v>
      </c>
      <c r="I216" s="262">
        <f>SUMIFS(J:J,A:A,"Composição",B:B,$B216)</f>
        <v>110.31</v>
      </c>
      <c r="J216" s="262">
        <f>TRUNC(H216*I216,2)</f>
        <v>55.15</v>
      </c>
      <c r="K216" s="172"/>
      <c r="L216" s="145">
        <f t="shared" si="35"/>
        <v>21</v>
      </c>
      <c r="M216" s="156">
        <f t="shared" si="36"/>
        <v>55.15</v>
      </c>
      <c r="N216" s="157" t="str">
        <f t="shared" si="37"/>
        <v/>
      </c>
      <c r="O216" s="157">
        <f t="shared" si="38"/>
        <v>55.15</v>
      </c>
      <c r="P216" s="158" t="str">
        <f t="shared" si="39"/>
        <v/>
      </c>
      <c r="Q216" s="157" t="str">
        <f t="shared" si="40"/>
        <v/>
      </c>
      <c r="R216" s="157" t="str">
        <f t="shared" si="41"/>
        <v/>
      </c>
    </row>
    <row r="217" spans="1:18" ht="14.25" hidden="1" customHeight="1" x14ac:dyDescent="0.25">
      <c r="A217" s="272" t="s">
        <v>22</v>
      </c>
      <c r="B217" s="261" t="s">
        <v>313</v>
      </c>
      <c r="C217" s="272" t="s">
        <v>10</v>
      </c>
      <c r="D217" s="272" t="s">
        <v>314</v>
      </c>
      <c r="E217" s="363" t="s">
        <v>27</v>
      </c>
      <c r="F217" s="363"/>
      <c r="G217" s="260" t="s">
        <v>28</v>
      </c>
      <c r="H217" s="263">
        <v>0.25</v>
      </c>
      <c r="I217" s="262">
        <f>SUMIFS(J:J,A:A,"Composição",B:B,$B217)</f>
        <v>24.1</v>
      </c>
      <c r="J217" s="262">
        <f>TRUNC(H217*I217,2)</f>
        <v>6.02</v>
      </c>
      <c r="K217" s="172"/>
      <c r="L217" s="145">
        <f t="shared" si="35"/>
        <v>21</v>
      </c>
      <c r="M217" s="156">
        <f t="shared" si="36"/>
        <v>6.02</v>
      </c>
      <c r="N217" s="157" t="str">
        <f t="shared" si="37"/>
        <v/>
      </c>
      <c r="O217" s="157">
        <f t="shared" si="38"/>
        <v>6.02</v>
      </c>
      <c r="P217" s="158" t="str">
        <f t="shared" si="39"/>
        <v/>
      </c>
      <c r="Q217" s="157" t="str">
        <f t="shared" si="40"/>
        <v/>
      </c>
      <c r="R217" s="157" t="str">
        <f t="shared" si="41"/>
        <v/>
      </c>
    </row>
    <row r="218" spans="1:18" ht="15" hidden="1" customHeight="1" x14ac:dyDescent="0.25">
      <c r="A218" s="274"/>
      <c r="B218" s="274"/>
      <c r="C218" s="274"/>
      <c r="D218" s="274"/>
      <c r="E218" s="274"/>
      <c r="F218" s="268"/>
      <c r="G218" s="274"/>
      <c r="H218" s="268"/>
      <c r="I218" s="274"/>
      <c r="J218" s="268"/>
      <c r="K218" s="172"/>
      <c r="L218" s="145">
        <f t="shared" si="35"/>
        <v>21</v>
      </c>
      <c r="M218" s="156" t="str">
        <f t="shared" si="36"/>
        <v/>
      </c>
      <c r="N218" s="157" t="str">
        <f t="shared" si="37"/>
        <v/>
      </c>
      <c r="O218" s="157" t="str">
        <f t="shared" si="38"/>
        <v/>
      </c>
      <c r="P218" s="158" t="str">
        <f t="shared" si="39"/>
        <v/>
      </c>
      <c r="Q218" s="157" t="str">
        <f t="shared" si="40"/>
        <v/>
      </c>
      <c r="R218" s="157" t="str">
        <f t="shared" si="41"/>
        <v/>
      </c>
    </row>
    <row r="219" spans="1:18" ht="14.4" hidden="1" thickBot="1" x14ac:dyDescent="0.3">
      <c r="A219" s="274"/>
      <c r="B219" s="274"/>
      <c r="C219" s="274"/>
      <c r="D219" s="274"/>
      <c r="E219" s="274"/>
      <c r="F219" s="268"/>
      <c r="G219" s="274"/>
      <c r="H219" s="350"/>
      <c r="I219" s="350"/>
      <c r="J219" s="268"/>
      <c r="K219" s="172"/>
      <c r="L219" s="145">
        <f t="shared" si="35"/>
        <v>21</v>
      </c>
      <c r="M219" s="156" t="str">
        <f t="shared" si="36"/>
        <v/>
      </c>
      <c r="N219" s="157" t="str">
        <f t="shared" si="37"/>
        <v/>
      </c>
      <c r="O219" s="157" t="str">
        <f t="shared" si="38"/>
        <v/>
      </c>
      <c r="P219" s="158" t="str">
        <f t="shared" si="39"/>
        <v/>
      </c>
      <c r="Q219" s="157" t="str">
        <f t="shared" si="40"/>
        <v/>
      </c>
      <c r="R219" s="157" t="str">
        <f t="shared" si="41"/>
        <v/>
      </c>
    </row>
    <row r="220" spans="1:18" ht="14.4" hidden="1" thickTop="1" x14ac:dyDescent="0.25">
      <c r="A220" s="259"/>
      <c r="B220" s="259"/>
      <c r="C220" s="259"/>
      <c r="D220" s="259"/>
      <c r="E220" s="259"/>
      <c r="F220" s="259"/>
      <c r="G220" s="259"/>
      <c r="H220" s="259"/>
      <c r="I220" s="259"/>
      <c r="J220" s="259"/>
      <c r="K220" s="172"/>
      <c r="L220" s="145">
        <f t="shared" si="35"/>
        <v>22</v>
      </c>
      <c r="M220" s="156" t="str">
        <f t="shared" si="36"/>
        <v/>
      </c>
      <c r="N220" s="157" t="str">
        <f t="shared" si="37"/>
        <v/>
      </c>
      <c r="O220" s="157" t="str">
        <f t="shared" si="38"/>
        <v/>
      </c>
      <c r="P220" s="158" t="str">
        <f t="shared" si="39"/>
        <v/>
      </c>
      <c r="Q220" s="157" t="str">
        <f t="shared" si="40"/>
        <v/>
      </c>
      <c r="R220" s="157" t="str">
        <f t="shared" si="41"/>
        <v/>
      </c>
    </row>
    <row r="221" spans="1:18" ht="25.5" hidden="1" customHeight="1" x14ac:dyDescent="0.25">
      <c r="A221" s="270" t="s">
        <v>720</v>
      </c>
      <c r="B221" s="254" t="s">
        <v>1</v>
      </c>
      <c r="C221" s="270" t="s">
        <v>2</v>
      </c>
      <c r="D221" s="270" t="s">
        <v>3</v>
      </c>
      <c r="E221" s="347" t="s">
        <v>19</v>
      </c>
      <c r="F221" s="347"/>
      <c r="G221" s="253" t="s">
        <v>4</v>
      </c>
      <c r="H221" s="254" t="s">
        <v>5</v>
      </c>
      <c r="I221" s="254" t="s">
        <v>6</v>
      </c>
      <c r="J221" s="254" t="s">
        <v>7</v>
      </c>
      <c r="K221" s="172"/>
      <c r="L221" s="145">
        <f t="shared" si="35"/>
        <v>22</v>
      </c>
      <c r="M221" s="156" t="str">
        <f t="shared" si="36"/>
        <v/>
      </c>
      <c r="N221" s="157" t="str">
        <f t="shared" si="37"/>
        <v/>
      </c>
      <c r="O221" s="157" t="str">
        <f t="shared" si="38"/>
        <v/>
      </c>
      <c r="P221" s="158" t="str">
        <f t="shared" si="39"/>
        <v/>
      </c>
      <c r="Q221" s="157" t="str">
        <f t="shared" si="40"/>
        <v/>
      </c>
      <c r="R221" s="157" t="str">
        <f t="shared" si="41"/>
        <v/>
      </c>
    </row>
    <row r="222" spans="1:18" ht="26.4" hidden="1" x14ac:dyDescent="0.25">
      <c r="A222" s="271" t="s">
        <v>20</v>
      </c>
      <c r="B222" s="256" t="s">
        <v>721</v>
      </c>
      <c r="C222" s="271" t="s">
        <v>13</v>
      </c>
      <c r="D222" s="271" t="s">
        <v>722</v>
      </c>
      <c r="E222" s="362" t="s">
        <v>315</v>
      </c>
      <c r="F222" s="362"/>
      <c r="G222" s="255" t="s">
        <v>375</v>
      </c>
      <c r="H222" s="258">
        <v>1</v>
      </c>
      <c r="I222" s="257">
        <f>SUMIF(L:L,$L222,M:M)</f>
        <v>1480.8</v>
      </c>
      <c r="J222" s="257">
        <f>TRUNC(H222*I222,2)</f>
        <v>1480.8</v>
      </c>
      <c r="K222" s="172"/>
      <c r="L222" s="145">
        <f t="shared" si="35"/>
        <v>22</v>
      </c>
      <c r="M222" s="156" t="str">
        <f t="shared" si="36"/>
        <v/>
      </c>
      <c r="N222" s="157" t="str">
        <f t="shared" si="37"/>
        <v/>
      </c>
      <c r="O222" s="157" t="str">
        <f t="shared" si="38"/>
        <v/>
      </c>
      <c r="P222" s="158" t="str">
        <f t="shared" si="39"/>
        <v xml:space="preserve"> S-ELE-SFCR-PGR-29 </v>
      </c>
      <c r="Q222" s="157">
        <f t="shared" si="40"/>
        <v>0</v>
      </c>
      <c r="R222" s="157">
        <f t="shared" si="41"/>
        <v>1480.8</v>
      </c>
    </row>
    <row r="223" spans="1:18" ht="26.4" hidden="1" x14ac:dyDescent="0.25">
      <c r="A223" s="272" t="s">
        <v>22</v>
      </c>
      <c r="B223" s="261" t="s">
        <v>650</v>
      </c>
      <c r="C223" s="272" t="s">
        <v>10</v>
      </c>
      <c r="D223" s="272" t="s">
        <v>651</v>
      </c>
      <c r="E223" s="363" t="s">
        <v>27</v>
      </c>
      <c r="F223" s="363"/>
      <c r="G223" s="260" t="s">
        <v>28</v>
      </c>
      <c r="H223" s="263">
        <v>12</v>
      </c>
      <c r="I223" s="262">
        <f>SUMIFS(J:J,A:A,"Composição",B:B,$B223)</f>
        <v>110.31</v>
      </c>
      <c r="J223" s="262">
        <f>TRUNC(H223*I223,2)</f>
        <v>1323.72</v>
      </c>
      <c r="K223" s="172"/>
      <c r="L223" s="145">
        <f t="shared" si="35"/>
        <v>22</v>
      </c>
      <c r="M223" s="156">
        <f t="shared" si="36"/>
        <v>1323.72</v>
      </c>
      <c r="N223" s="157" t="str">
        <f t="shared" si="37"/>
        <v/>
      </c>
      <c r="O223" s="157">
        <f t="shared" si="38"/>
        <v>1323.72</v>
      </c>
      <c r="P223" s="158" t="str">
        <f t="shared" si="39"/>
        <v/>
      </c>
      <c r="Q223" s="157" t="str">
        <f t="shared" si="40"/>
        <v/>
      </c>
      <c r="R223" s="157" t="str">
        <f t="shared" si="41"/>
        <v/>
      </c>
    </row>
    <row r="224" spans="1:18" ht="14.25" hidden="1" customHeight="1" x14ac:dyDescent="0.25">
      <c r="A224" s="272" t="s">
        <v>22</v>
      </c>
      <c r="B224" s="261" t="s">
        <v>652</v>
      </c>
      <c r="C224" s="272" t="s">
        <v>10</v>
      </c>
      <c r="D224" s="272" t="s">
        <v>653</v>
      </c>
      <c r="E224" s="363" t="s">
        <v>27</v>
      </c>
      <c r="F224" s="363"/>
      <c r="G224" s="260" t="s">
        <v>28</v>
      </c>
      <c r="H224" s="263">
        <v>6</v>
      </c>
      <c r="I224" s="262">
        <f>SUMIFS(J:J,A:A,"Composição",B:B,$B224)</f>
        <v>26.18</v>
      </c>
      <c r="J224" s="262">
        <f>TRUNC(H224*I224,2)</f>
        <v>157.08000000000001</v>
      </c>
      <c r="K224" s="172"/>
      <c r="L224" s="145">
        <f t="shared" si="35"/>
        <v>22</v>
      </c>
      <c r="M224" s="156">
        <f t="shared" si="36"/>
        <v>157.08000000000001</v>
      </c>
      <c r="N224" s="157" t="str">
        <f t="shared" si="37"/>
        <v/>
      </c>
      <c r="O224" s="157">
        <f t="shared" si="38"/>
        <v>157.08000000000001</v>
      </c>
      <c r="P224" s="158" t="str">
        <f t="shared" si="39"/>
        <v/>
      </c>
      <c r="Q224" s="157" t="str">
        <f t="shared" si="40"/>
        <v/>
      </c>
      <c r="R224" s="157" t="str">
        <f t="shared" si="41"/>
        <v/>
      </c>
    </row>
    <row r="225" spans="1:18" ht="26.4" hidden="1" customHeight="1" x14ac:dyDescent="0.25">
      <c r="A225" s="274"/>
      <c r="B225" s="274"/>
      <c r="C225" s="274"/>
      <c r="D225" s="274"/>
      <c r="E225" s="274"/>
      <c r="F225" s="268"/>
      <c r="G225" s="274"/>
      <c r="H225" s="268"/>
      <c r="I225" s="274"/>
      <c r="J225" s="268"/>
      <c r="K225" s="172"/>
      <c r="L225" s="145">
        <f t="shared" si="35"/>
        <v>22</v>
      </c>
      <c r="M225" s="156" t="str">
        <f t="shared" si="36"/>
        <v/>
      </c>
      <c r="N225" s="157" t="str">
        <f t="shared" si="37"/>
        <v/>
      </c>
      <c r="O225" s="157" t="str">
        <f t="shared" si="38"/>
        <v/>
      </c>
      <c r="P225" s="158" t="str">
        <f t="shared" si="39"/>
        <v/>
      </c>
      <c r="Q225" s="157" t="str">
        <f t="shared" si="40"/>
        <v/>
      </c>
      <c r="R225" s="157" t="str">
        <f t="shared" si="41"/>
        <v/>
      </c>
    </row>
    <row r="226" spans="1:18" ht="15" hidden="1" customHeight="1" thickBot="1" x14ac:dyDescent="0.3">
      <c r="A226" s="274"/>
      <c r="B226" s="274"/>
      <c r="C226" s="274"/>
      <c r="D226" s="274"/>
      <c r="E226" s="274"/>
      <c r="F226" s="268"/>
      <c r="G226" s="274"/>
      <c r="H226" s="350"/>
      <c r="I226" s="350"/>
      <c r="J226" s="268"/>
      <c r="K226" s="172"/>
      <c r="L226" s="145">
        <f t="shared" si="35"/>
        <v>22</v>
      </c>
      <c r="M226" s="156" t="str">
        <f t="shared" si="36"/>
        <v/>
      </c>
      <c r="N226" s="157" t="str">
        <f t="shared" si="37"/>
        <v/>
      </c>
      <c r="O226" s="157" t="str">
        <f t="shared" si="38"/>
        <v/>
      </c>
      <c r="P226" s="158" t="str">
        <f t="shared" si="39"/>
        <v/>
      </c>
      <c r="Q226" s="157" t="str">
        <f t="shared" si="40"/>
        <v/>
      </c>
      <c r="R226" s="157" t="str">
        <f t="shared" si="41"/>
        <v/>
      </c>
    </row>
    <row r="227" spans="1:18" ht="15" hidden="1" customHeight="1" thickTop="1" x14ac:dyDescent="0.25">
      <c r="A227" s="259"/>
      <c r="B227" s="259"/>
      <c r="C227" s="259"/>
      <c r="D227" s="259"/>
      <c r="E227" s="259"/>
      <c r="F227" s="259"/>
      <c r="G227" s="259"/>
      <c r="H227" s="259"/>
      <c r="I227" s="259"/>
      <c r="J227" s="259"/>
      <c r="K227" s="172"/>
      <c r="L227" s="145">
        <f t="shared" si="35"/>
        <v>23</v>
      </c>
      <c r="M227" s="156" t="str">
        <f t="shared" si="36"/>
        <v/>
      </c>
      <c r="N227" s="157" t="str">
        <f t="shared" si="37"/>
        <v/>
      </c>
      <c r="O227" s="157" t="str">
        <f t="shared" si="38"/>
        <v/>
      </c>
      <c r="P227" s="158" t="str">
        <f t="shared" si="39"/>
        <v/>
      </c>
      <c r="Q227" s="157" t="str">
        <f t="shared" si="40"/>
        <v/>
      </c>
      <c r="R227" s="157" t="str">
        <f t="shared" si="41"/>
        <v/>
      </c>
    </row>
    <row r="228" spans="1:18" hidden="1" x14ac:dyDescent="0.25">
      <c r="A228" s="270" t="s">
        <v>723</v>
      </c>
      <c r="B228" s="254" t="s">
        <v>1</v>
      </c>
      <c r="C228" s="270" t="s">
        <v>2</v>
      </c>
      <c r="D228" s="270" t="s">
        <v>3</v>
      </c>
      <c r="E228" s="347" t="s">
        <v>19</v>
      </c>
      <c r="F228" s="347"/>
      <c r="G228" s="253" t="s">
        <v>4</v>
      </c>
      <c r="H228" s="254" t="s">
        <v>5</v>
      </c>
      <c r="I228" s="254" t="s">
        <v>6</v>
      </c>
      <c r="J228" s="254" t="s">
        <v>7</v>
      </c>
      <c r="K228" s="172"/>
      <c r="L228" s="145">
        <f t="shared" si="35"/>
        <v>23</v>
      </c>
      <c r="M228" s="156" t="str">
        <f t="shared" si="36"/>
        <v/>
      </c>
      <c r="N228" s="157" t="str">
        <f t="shared" si="37"/>
        <v/>
      </c>
      <c r="O228" s="157" t="str">
        <f t="shared" si="38"/>
        <v/>
      </c>
      <c r="P228" s="158" t="str">
        <f t="shared" si="39"/>
        <v/>
      </c>
      <c r="Q228" s="157" t="str">
        <f t="shared" si="40"/>
        <v/>
      </c>
      <c r="R228" s="157" t="str">
        <f t="shared" si="41"/>
        <v/>
      </c>
    </row>
    <row r="229" spans="1:18" ht="25.5" hidden="1" customHeight="1" x14ac:dyDescent="0.25">
      <c r="A229" s="271" t="s">
        <v>20</v>
      </c>
      <c r="B229" s="256" t="s">
        <v>650</v>
      </c>
      <c r="C229" s="271" t="s">
        <v>10</v>
      </c>
      <c r="D229" s="271" t="s">
        <v>651</v>
      </c>
      <c r="E229" s="362" t="s">
        <v>27</v>
      </c>
      <c r="F229" s="362"/>
      <c r="G229" s="255" t="s">
        <v>28</v>
      </c>
      <c r="H229" s="258">
        <v>1</v>
      </c>
      <c r="I229" s="257">
        <f>SUMIF(L:L,$L229,M:M)</f>
        <v>110.31</v>
      </c>
      <c r="J229" s="257">
        <f t="shared" ref="J229:J235" si="42">TRUNC(H229*I229,2)</f>
        <v>110.31</v>
      </c>
      <c r="K229" s="172"/>
      <c r="L229" s="145">
        <f t="shared" si="35"/>
        <v>23</v>
      </c>
      <c r="M229" s="156" t="str">
        <f t="shared" si="36"/>
        <v/>
      </c>
      <c r="N229" s="157" t="str">
        <f t="shared" si="37"/>
        <v/>
      </c>
      <c r="O229" s="157" t="str">
        <f t="shared" si="38"/>
        <v/>
      </c>
      <c r="P229" s="158" t="str">
        <f t="shared" si="39"/>
        <v xml:space="preserve"> 91677 </v>
      </c>
      <c r="Q229" s="157">
        <f t="shared" si="40"/>
        <v>106.56</v>
      </c>
      <c r="R229" s="157">
        <f t="shared" si="41"/>
        <v>3.7499999999999996</v>
      </c>
    </row>
    <row r="230" spans="1:18" ht="26.4" hidden="1" x14ac:dyDescent="0.25">
      <c r="A230" s="272" t="s">
        <v>22</v>
      </c>
      <c r="B230" s="261" t="s">
        <v>724</v>
      </c>
      <c r="C230" s="272" t="s">
        <v>10</v>
      </c>
      <c r="D230" s="272" t="s">
        <v>725</v>
      </c>
      <c r="E230" s="363" t="s">
        <v>27</v>
      </c>
      <c r="F230" s="363"/>
      <c r="G230" s="260" t="s">
        <v>28</v>
      </c>
      <c r="H230" s="263">
        <v>1</v>
      </c>
      <c r="I230" s="262">
        <f>SUMIFS(J:J,A:A,"Composição",B:B,$B230)</f>
        <v>2.58</v>
      </c>
      <c r="J230" s="262">
        <f t="shared" si="42"/>
        <v>2.58</v>
      </c>
      <c r="K230" s="172"/>
      <c r="L230" s="145">
        <f t="shared" si="35"/>
        <v>23</v>
      </c>
      <c r="M230" s="156">
        <f t="shared" si="36"/>
        <v>2.58</v>
      </c>
      <c r="N230" s="157" t="str">
        <f t="shared" si="37"/>
        <v/>
      </c>
      <c r="O230" s="157">
        <f t="shared" si="38"/>
        <v>2.58</v>
      </c>
      <c r="P230" s="158" t="str">
        <f t="shared" si="39"/>
        <v/>
      </c>
      <c r="Q230" s="157" t="str">
        <f t="shared" si="40"/>
        <v/>
      </c>
      <c r="R230" s="157" t="str">
        <f t="shared" si="41"/>
        <v/>
      </c>
    </row>
    <row r="231" spans="1:18" ht="14.25" hidden="1" customHeight="1" x14ac:dyDescent="0.25">
      <c r="A231" s="273" t="s">
        <v>31</v>
      </c>
      <c r="B231" s="265" t="s">
        <v>378</v>
      </c>
      <c r="C231" s="273" t="str">
        <f>VLOOKUP(B231,INSUMOS!$A:$I,2,FALSE)</f>
        <v>SINAPI</v>
      </c>
      <c r="D231" s="273" t="str">
        <f>VLOOKUP(B231,INSUMOS!$A:$I,3,FALSE)</f>
        <v>ENGENHEIRO ELETRICISTA</v>
      </c>
      <c r="E231" s="361" t="str">
        <f>VLOOKUP(B231,INSUMOS!$A:$I,4,FALSE)</f>
        <v>Mão de Obra</v>
      </c>
      <c r="F231" s="361"/>
      <c r="G231" s="264" t="str">
        <f>VLOOKUP(B231,INSUMOS!$A:$I,5,FALSE)</f>
        <v>H</v>
      </c>
      <c r="H231" s="267">
        <v>1</v>
      </c>
      <c r="I231" s="266">
        <f>VLOOKUP(B231,INSUMOS!$A:$I,8,FALSE)</f>
        <v>106.56</v>
      </c>
      <c r="J231" s="266">
        <f t="shared" si="42"/>
        <v>106.56</v>
      </c>
      <c r="K231" s="172"/>
      <c r="L231" s="145">
        <f t="shared" si="35"/>
        <v>23</v>
      </c>
      <c r="M231" s="156">
        <f t="shared" si="36"/>
        <v>106.56</v>
      </c>
      <c r="N231" s="157">
        <f t="shared" si="37"/>
        <v>106.56</v>
      </c>
      <c r="O231" s="157" t="str">
        <f t="shared" si="38"/>
        <v/>
      </c>
      <c r="P231" s="158" t="str">
        <f t="shared" si="39"/>
        <v/>
      </c>
      <c r="Q231" s="157" t="str">
        <f t="shared" si="40"/>
        <v/>
      </c>
      <c r="R231" s="157" t="str">
        <f t="shared" si="41"/>
        <v/>
      </c>
    </row>
    <row r="232" spans="1:18" ht="26.4" hidden="1" x14ac:dyDescent="0.25">
      <c r="A232" s="273" t="s">
        <v>31</v>
      </c>
      <c r="B232" s="265" t="s">
        <v>294</v>
      </c>
      <c r="C232" s="273" t="str">
        <f>VLOOKUP(B232,INSUMOS!$A:$I,2,FALSE)</f>
        <v>SINAPI</v>
      </c>
      <c r="D232" s="273" t="str">
        <f>VLOOKUP(B232,INSUMOS!$A:$I,3,FALSE)</f>
        <v>EPI - FAMILIA ENGENHEIRO CIVIL - HORISTA (ENCARGOS COMPLEMENTARES - COLETADO CAIXA)</v>
      </c>
      <c r="E232" s="361" t="str">
        <f>VLOOKUP(B232,INSUMOS!$A:$I,4,FALSE)</f>
        <v>Equipamento</v>
      </c>
      <c r="F232" s="361"/>
      <c r="G232" s="264" t="str">
        <f>VLOOKUP(B232,INSUMOS!$A:$I,5,FALSE)</f>
        <v>H</v>
      </c>
      <c r="H232" s="267">
        <v>1</v>
      </c>
      <c r="I232" s="266">
        <f>VLOOKUP(B232,INSUMOS!$A:$I,8,FALSE)</f>
        <v>0.55000000000000004</v>
      </c>
      <c r="J232" s="266">
        <f t="shared" si="42"/>
        <v>0.55000000000000004</v>
      </c>
      <c r="K232" s="172"/>
      <c r="L232" s="145">
        <f t="shared" si="35"/>
        <v>23</v>
      </c>
      <c r="M232" s="156">
        <f t="shared" si="36"/>
        <v>0.55000000000000004</v>
      </c>
      <c r="N232" s="157" t="str">
        <f t="shared" si="37"/>
        <v/>
      </c>
      <c r="O232" s="157">
        <f t="shared" si="38"/>
        <v>0.55000000000000004</v>
      </c>
      <c r="P232" s="158" t="str">
        <f t="shared" si="39"/>
        <v/>
      </c>
      <c r="Q232" s="157" t="str">
        <f t="shared" si="40"/>
        <v/>
      </c>
      <c r="R232" s="157" t="str">
        <f t="shared" si="41"/>
        <v/>
      </c>
    </row>
    <row r="233" spans="1:18" hidden="1" x14ac:dyDescent="0.25">
      <c r="A233" s="273" t="s">
        <v>31</v>
      </c>
      <c r="B233" s="265" t="s">
        <v>92</v>
      </c>
      <c r="C233" s="273" t="str">
        <f>VLOOKUP(B233,INSUMOS!$A:$I,2,FALSE)</f>
        <v>SINAPI</v>
      </c>
      <c r="D233" s="273" t="str">
        <f>VLOOKUP(B233,INSUMOS!$A:$I,3,FALSE)</f>
        <v>EXAMES - HORISTA (COLETADO CAIXA)</v>
      </c>
      <c r="E233" s="361" t="str">
        <f>VLOOKUP(B233,INSUMOS!$A:$I,4,FALSE)</f>
        <v>Outros</v>
      </c>
      <c r="F233" s="361"/>
      <c r="G233" s="264" t="str">
        <f>VLOOKUP(B233,INSUMOS!$A:$I,5,FALSE)</f>
        <v>H</v>
      </c>
      <c r="H233" s="267">
        <v>1</v>
      </c>
      <c r="I233" s="266">
        <f>VLOOKUP(B233,INSUMOS!$A:$I,8,FALSE)</f>
        <v>0.55000000000000004</v>
      </c>
      <c r="J233" s="266">
        <f t="shared" si="42"/>
        <v>0.55000000000000004</v>
      </c>
      <c r="K233" s="172"/>
      <c r="L233" s="145">
        <f t="shared" si="35"/>
        <v>23</v>
      </c>
      <c r="M233" s="156">
        <f t="shared" si="36"/>
        <v>0.55000000000000004</v>
      </c>
      <c r="N233" s="157" t="str">
        <f t="shared" si="37"/>
        <v/>
      </c>
      <c r="O233" s="157">
        <f t="shared" si="38"/>
        <v>0.55000000000000004</v>
      </c>
      <c r="P233" s="158" t="str">
        <f t="shared" si="39"/>
        <v/>
      </c>
      <c r="Q233" s="157" t="str">
        <f t="shared" si="40"/>
        <v/>
      </c>
      <c r="R233" s="157" t="str">
        <f t="shared" si="41"/>
        <v/>
      </c>
    </row>
    <row r="234" spans="1:18" ht="15" hidden="1" customHeight="1" x14ac:dyDescent="0.25">
      <c r="A234" s="273" t="s">
        <v>31</v>
      </c>
      <c r="B234" s="265" t="s">
        <v>296</v>
      </c>
      <c r="C234" s="273" t="str">
        <f>VLOOKUP(B234,INSUMOS!$A:$I,2,FALSE)</f>
        <v>SINAPI</v>
      </c>
      <c r="D234" s="273" t="str">
        <f>VLOOKUP(B234,INSUMOS!$A:$I,3,FALSE)</f>
        <v>FERRAMENTAS - FAMILIA ENGENHEIRO CIVIL - HORISTA (ENCARGOS COMPLEMENTARES - COLETADO CAIXA)</v>
      </c>
      <c r="E234" s="361" t="str">
        <f>VLOOKUP(B234,INSUMOS!$A:$I,4,FALSE)</f>
        <v>Equipamento</v>
      </c>
      <c r="F234" s="361"/>
      <c r="G234" s="264" t="str">
        <f>VLOOKUP(B234,INSUMOS!$A:$I,5,FALSE)</f>
        <v>H</v>
      </c>
      <c r="H234" s="267">
        <v>1</v>
      </c>
      <c r="I234" s="266">
        <f>VLOOKUP(B234,INSUMOS!$A:$I,8,FALSE)</f>
        <v>0.01</v>
      </c>
      <c r="J234" s="266">
        <f t="shared" si="42"/>
        <v>0.01</v>
      </c>
      <c r="K234" s="172"/>
      <c r="L234" s="145">
        <f t="shared" si="35"/>
        <v>23</v>
      </c>
      <c r="M234" s="156">
        <f t="shared" si="36"/>
        <v>0.01</v>
      </c>
      <c r="N234" s="157" t="str">
        <f t="shared" si="37"/>
        <v/>
      </c>
      <c r="O234" s="157">
        <f t="shared" si="38"/>
        <v>0.01</v>
      </c>
      <c r="P234" s="158" t="str">
        <f t="shared" si="39"/>
        <v/>
      </c>
      <c r="Q234" s="157" t="str">
        <f t="shared" si="40"/>
        <v/>
      </c>
      <c r="R234" s="157" t="str">
        <f t="shared" si="41"/>
        <v/>
      </c>
    </row>
    <row r="235" spans="1:18" ht="26.4" hidden="1" customHeight="1" x14ac:dyDescent="0.25">
      <c r="A235" s="273" t="s">
        <v>31</v>
      </c>
      <c r="B235" s="265" t="s">
        <v>94</v>
      </c>
      <c r="C235" s="273" t="str">
        <f>VLOOKUP(B235,INSUMOS!$A:$I,2,FALSE)</f>
        <v>SINAPI</v>
      </c>
      <c r="D235" s="273" t="str">
        <f>VLOOKUP(B235,INSUMOS!$A:$I,3,FALSE)</f>
        <v>SEGURO - HORISTA (COLETADO CAIXA)</v>
      </c>
      <c r="E235" s="361" t="str">
        <f>VLOOKUP(B235,INSUMOS!$A:$I,4,FALSE)</f>
        <v>Taxas</v>
      </c>
      <c r="F235" s="361"/>
      <c r="G235" s="264" t="str">
        <f>VLOOKUP(B235,INSUMOS!$A:$I,5,FALSE)</f>
        <v>H</v>
      </c>
      <c r="H235" s="267">
        <v>1</v>
      </c>
      <c r="I235" s="266">
        <f>VLOOKUP(B235,INSUMOS!$A:$I,8,FALSE)</f>
        <v>0.06</v>
      </c>
      <c r="J235" s="266">
        <f t="shared" si="42"/>
        <v>0.06</v>
      </c>
      <c r="K235" s="172"/>
      <c r="L235" s="145">
        <f t="shared" si="35"/>
        <v>23</v>
      </c>
      <c r="M235" s="156">
        <f t="shared" si="36"/>
        <v>0.06</v>
      </c>
      <c r="N235" s="157" t="str">
        <f t="shared" si="37"/>
        <v/>
      </c>
      <c r="O235" s="157">
        <f t="shared" si="38"/>
        <v>0.06</v>
      </c>
      <c r="P235" s="158" t="str">
        <f t="shared" si="39"/>
        <v/>
      </c>
      <c r="Q235" s="157" t="str">
        <f t="shared" si="40"/>
        <v/>
      </c>
      <c r="R235" s="157" t="str">
        <f t="shared" si="41"/>
        <v/>
      </c>
    </row>
    <row r="236" spans="1:18" hidden="1" x14ac:dyDescent="0.25">
      <c r="A236" s="274"/>
      <c r="B236" s="274"/>
      <c r="C236" s="274"/>
      <c r="D236" s="274"/>
      <c r="E236" s="274"/>
      <c r="F236" s="268"/>
      <c r="G236" s="274"/>
      <c r="H236" s="268"/>
      <c r="I236" s="274"/>
      <c r="J236" s="268"/>
      <c r="K236" s="172"/>
      <c r="L236" s="145">
        <f t="shared" si="35"/>
        <v>23</v>
      </c>
      <c r="M236" s="156" t="str">
        <f t="shared" si="36"/>
        <v/>
      </c>
      <c r="N236" s="157" t="str">
        <f t="shared" si="37"/>
        <v/>
      </c>
      <c r="O236" s="157" t="str">
        <f t="shared" si="38"/>
        <v/>
      </c>
      <c r="P236" s="158" t="str">
        <f t="shared" si="39"/>
        <v/>
      </c>
      <c r="Q236" s="157" t="str">
        <f t="shared" si="40"/>
        <v/>
      </c>
      <c r="R236" s="157" t="str">
        <f t="shared" si="41"/>
        <v/>
      </c>
    </row>
    <row r="237" spans="1:18" ht="14.4" hidden="1" thickBot="1" x14ac:dyDescent="0.3">
      <c r="A237" s="274"/>
      <c r="B237" s="274"/>
      <c r="C237" s="274"/>
      <c r="D237" s="274"/>
      <c r="E237" s="274"/>
      <c r="F237" s="268"/>
      <c r="G237" s="274"/>
      <c r="H237" s="350"/>
      <c r="I237" s="350"/>
      <c r="J237" s="268"/>
      <c r="K237" s="172"/>
      <c r="L237" s="145">
        <f t="shared" si="35"/>
        <v>23</v>
      </c>
      <c r="M237" s="156" t="str">
        <f t="shared" si="36"/>
        <v/>
      </c>
      <c r="N237" s="157" t="str">
        <f t="shared" si="37"/>
        <v/>
      </c>
      <c r="O237" s="157" t="str">
        <f t="shared" si="38"/>
        <v/>
      </c>
      <c r="P237" s="158" t="str">
        <f t="shared" si="39"/>
        <v/>
      </c>
      <c r="Q237" s="157" t="str">
        <f t="shared" si="40"/>
        <v/>
      </c>
      <c r="R237" s="157" t="str">
        <f t="shared" si="41"/>
        <v/>
      </c>
    </row>
    <row r="238" spans="1:18" ht="25.5" hidden="1" customHeight="1" thickTop="1" x14ac:dyDescent="0.25">
      <c r="A238" s="259"/>
      <c r="B238" s="259"/>
      <c r="C238" s="259"/>
      <c r="D238" s="259"/>
      <c r="E238" s="259"/>
      <c r="F238" s="259"/>
      <c r="G238" s="259"/>
      <c r="H238" s="259"/>
      <c r="I238" s="259"/>
      <c r="J238" s="259"/>
      <c r="K238" s="172"/>
      <c r="L238" s="145">
        <f t="shared" si="35"/>
        <v>24</v>
      </c>
      <c r="M238" s="156" t="str">
        <f t="shared" si="36"/>
        <v/>
      </c>
      <c r="N238" s="157" t="str">
        <f t="shared" si="37"/>
        <v/>
      </c>
      <c r="O238" s="157" t="str">
        <f t="shared" si="38"/>
        <v/>
      </c>
      <c r="P238" s="158" t="str">
        <f t="shared" si="39"/>
        <v/>
      </c>
      <c r="Q238" s="157" t="str">
        <f t="shared" si="40"/>
        <v/>
      </c>
      <c r="R238" s="157" t="str">
        <f t="shared" si="41"/>
        <v/>
      </c>
    </row>
    <row r="239" spans="1:18" ht="25.5" customHeight="1" x14ac:dyDescent="0.25">
      <c r="A239" s="375" t="s">
        <v>370</v>
      </c>
      <c r="B239" s="375"/>
      <c r="C239" s="375"/>
      <c r="D239" s="375"/>
      <c r="E239" s="375"/>
      <c r="F239" s="375"/>
      <c r="G239" s="375"/>
      <c r="H239" s="375"/>
      <c r="I239" s="375"/>
      <c r="J239" s="375"/>
      <c r="K239" s="172"/>
      <c r="L239" s="145">
        <f t="shared" si="35"/>
        <v>24</v>
      </c>
      <c r="M239" s="156" t="str">
        <f t="shared" si="36"/>
        <v/>
      </c>
      <c r="N239" s="157" t="str">
        <f t="shared" si="37"/>
        <v/>
      </c>
      <c r="O239" s="157" t="str">
        <f t="shared" si="38"/>
        <v/>
      </c>
      <c r="P239" s="158" t="str">
        <f t="shared" si="39"/>
        <v/>
      </c>
      <c r="Q239" s="157" t="str">
        <f t="shared" si="40"/>
        <v/>
      </c>
      <c r="R239" s="157" t="str">
        <f t="shared" si="41"/>
        <v/>
      </c>
    </row>
    <row r="240" spans="1:18" x14ac:dyDescent="0.25">
      <c r="A240" s="270"/>
      <c r="B240" s="254" t="s">
        <v>1</v>
      </c>
      <c r="C240" s="270" t="s">
        <v>2</v>
      </c>
      <c r="D240" s="270" t="s">
        <v>3</v>
      </c>
      <c r="E240" s="347" t="s">
        <v>19</v>
      </c>
      <c r="F240" s="347"/>
      <c r="G240" s="253" t="s">
        <v>4</v>
      </c>
      <c r="H240" s="254" t="s">
        <v>5</v>
      </c>
      <c r="I240" s="254" t="s">
        <v>6</v>
      </c>
      <c r="J240" s="254" t="s">
        <v>7</v>
      </c>
      <c r="K240" s="172"/>
      <c r="L240" s="145">
        <f t="shared" si="35"/>
        <v>25</v>
      </c>
      <c r="M240" s="156" t="str">
        <f t="shared" si="36"/>
        <v/>
      </c>
      <c r="N240" s="157" t="str">
        <f t="shared" si="37"/>
        <v/>
      </c>
      <c r="O240" s="157" t="str">
        <f t="shared" si="38"/>
        <v/>
      </c>
      <c r="P240" s="158" t="str">
        <f t="shared" si="39"/>
        <v/>
      </c>
      <c r="Q240" s="157" t="str">
        <f t="shared" si="40"/>
        <v/>
      </c>
      <c r="R240" s="157" t="str">
        <f t="shared" si="41"/>
        <v/>
      </c>
    </row>
    <row r="241" spans="1:18" ht="25.5" customHeight="1" x14ac:dyDescent="0.25">
      <c r="A241" s="271" t="s">
        <v>20</v>
      </c>
      <c r="B241" s="256" t="s">
        <v>298</v>
      </c>
      <c r="C241" s="271" t="s">
        <v>10</v>
      </c>
      <c r="D241" s="271" t="s">
        <v>299</v>
      </c>
      <c r="E241" s="362" t="s">
        <v>27</v>
      </c>
      <c r="F241" s="362"/>
      <c r="G241" s="255" t="s">
        <v>28</v>
      </c>
      <c r="H241" s="258">
        <v>1</v>
      </c>
      <c r="I241" s="257">
        <f>SUMIF(L:L,$L241,M:M)</f>
        <v>18.740000000000002</v>
      </c>
      <c r="J241" s="257">
        <f t="shared" ref="J241:J249" si="43">TRUNC(H241*I241,2)</f>
        <v>18.739999999999998</v>
      </c>
      <c r="K241" s="172"/>
      <c r="L241" s="145">
        <f t="shared" si="35"/>
        <v>25</v>
      </c>
      <c r="M241" s="156" t="str">
        <f t="shared" si="36"/>
        <v/>
      </c>
      <c r="N241" s="157" t="str">
        <f t="shared" si="37"/>
        <v/>
      </c>
      <c r="O241" s="157" t="str">
        <f t="shared" si="38"/>
        <v/>
      </c>
      <c r="P241" s="158" t="str">
        <f t="shared" si="39"/>
        <v xml:space="preserve"> 88247 </v>
      </c>
      <c r="Q241" s="157">
        <f t="shared" si="40"/>
        <v>12.3</v>
      </c>
      <c r="R241" s="157">
        <f t="shared" si="41"/>
        <v>6.44</v>
      </c>
    </row>
    <row r="242" spans="1:18" ht="26.4" x14ac:dyDescent="0.25">
      <c r="A242" s="272" t="s">
        <v>22</v>
      </c>
      <c r="B242" s="261" t="s">
        <v>300</v>
      </c>
      <c r="C242" s="272" t="s">
        <v>10</v>
      </c>
      <c r="D242" s="272" t="s">
        <v>301</v>
      </c>
      <c r="E242" s="363" t="s">
        <v>27</v>
      </c>
      <c r="F242" s="363"/>
      <c r="G242" s="260" t="s">
        <v>28</v>
      </c>
      <c r="H242" s="263">
        <v>1</v>
      </c>
      <c r="I242" s="262">
        <f>SUMIFS(J:J,A:A,"Composição",B:B,$B242)</f>
        <v>0.32</v>
      </c>
      <c r="J242" s="262">
        <f t="shared" si="43"/>
        <v>0.32</v>
      </c>
      <c r="K242" s="172"/>
      <c r="L242" s="145">
        <f t="shared" si="35"/>
        <v>25</v>
      </c>
      <c r="M242" s="156">
        <f t="shared" si="36"/>
        <v>0.32</v>
      </c>
      <c r="N242" s="157" t="str">
        <f t="shared" si="37"/>
        <v/>
      </c>
      <c r="O242" s="157">
        <f t="shared" si="38"/>
        <v>0.32</v>
      </c>
      <c r="P242" s="158" t="str">
        <f t="shared" si="39"/>
        <v/>
      </c>
      <c r="Q242" s="157" t="str">
        <f t="shared" si="40"/>
        <v/>
      </c>
      <c r="R242" s="157" t="str">
        <f t="shared" si="41"/>
        <v/>
      </c>
    </row>
    <row r="243" spans="1:18" x14ac:dyDescent="0.25">
      <c r="A243" s="273" t="s">
        <v>31</v>
      </c>
      <c r="B243" s="265" t="s">
        <v>265</v>
      </c>
      <c r="C243" s="273" t="str">
        <f>VLOOKUP(B243,INSUMOS!$A:$I,2,FALSE)</f>
        <v>SINAPI</v>
      </c>
      <c r="D243" s="273" t="str">
        <f>VLOOKUP(B243,INSUMOS!$A:$I,3,FALSE)</f>
        <v>AJUDANTE DE ELETRICISTA</v>
      </c>
      <c r="E243" s="361" t="str">
        <f>VLOOKUP(B243,INSUMOS!$A:$I,4,FALSE)</f>
        <v>Mão de Obra</v>
      </c>
      <c r="F243" s="361"/>
      <c r="G243" s="264" t="str">
        <f>VLOOKUP(B243,INSUMOS!$A:$I,5,FALSE)</f>
        <v>H</v>
      </c>
      <c r="H243" s="267">
        <v>1</v>
      </c>
      <c r="I243" s="266">
        <f>VLOOKUP(B243,INSUMOS!$A:$I,8,FALSE)</f>
        <v>12.3</v>
      </c>
      <c r="J243" s="266">
        <f t="shared" si="43"/>
        <v>12.3</v>
      </c>
      <c r="K243" s="172"/>
      <c r="L243" s="145">
        <f t="shared" si="35"/>
        <v>25</v>
      </c>
      <c r="M243" s="156">
        <f t="shared" si="36"/>
        <v>12.3</v>
      </c>
      <c r="N243" s="157">
        <f t="shared" si="37"/>
        <v>12.3</v>
      </c>
      <c r="O243" s="157" t="str">
        <f t="shared" si="38"/>
        <v/>
      </c>
      <c r="P243" s="158" t="str">
        <f t="shared" si="39"/>
        <v/>
      </c>
      <c r="Q243" s="157" t="str">
        <f t="shared" si="40"/>
        <v/>
      </c>
      <c r="R243" s="157" t="str">
        <f t="shared" si="41"/>
        <v/>
      </c>
    </row>
    <row r="244" spans="1:18" x14ac:dyDescent="0.25">
      <c r="A244" s="273" t="s">
        <v>31</v>
      </c>
      <c r="B244" s="265" t="s">
        <v>90</v>
      </c>
      <c r="C244" s="273" t="str">
        <f>VLOOKUP(B244,INSUMOS!$A:$I,2,FALSE)</f>
        <v>SINAPI</v>
      </c>
      <c r="D244" s="273" t="str">
        <f>VLOOKUP(B244,INSUMOS!$A:$I,3,FALSE)</f>
        <v>ALIMENTACAO - HORISTA (COLETADO CAIXA)</v>
      </c>
      <c r="E244" s="361" t="str">
        <f>VLOOKUP(B244,INSUMOS!$A:$I,4,FALSE)</f>
        <v>Outros</v>
      </c>
      <c r="F244" s="361"/>
      <c r="G244" s="264" t="str">
        <f>VLOOKUP(B244,INSUMOS!$A:$I,5,FALSE)</f>
        <v>H</v>
      </c>
      <c r="H244" s="267">
        <v>1</v>
      </c>
      <c r="I244" s="266">
        <f>VLOOKUP(B244,INSUMOS!$A:$I,8,FALSE)</f>
        <v>2.62</v>
      </c>
      <c r="J244" s="266">
        <f t="shared" si="43"/>
        <v>2.62</v>
      </c>
      <c r="K244" s="172"/>
      <c r="L244" s="145">
        <f t="shared" si="35"/>
        <v>25</v>
      </c>
      <c r="M244" s="156">
        <f t="shared" si="36"/>
        <v>2.62</v>
      </c>
      <c r="N244" s="157" t="str">
        <f t="shared" si="37"/>
        <v/>
      </c>
      <c r="O244" s="157">
        <f t="shared" si="38"/>
        <v>2.62</v>
      </c>
      <c r="P244" s="158" t="str">
        <f t="shared" si="39"/>
        <v/>
      </c>
      <c r="Q244" s="157" t="str">
        <f t="shared" si="40"/>
        <v/>
      </c>
      <c r="R244" s="157" t="str">
        <f t="shared" si="41"/>
        <v/>
      </c>
    </row>
    <row r="245" spans="1:18" ht="26.4" customHeight="1" x14ac:dyDescent="0.25">
      <c r="A245" s="273" t="s">
        <v>31</v>
      </c>
      <c r="B245" s="265" t="s">
        <v>274</v>
      </c>
      <c r="C245" s="273" t="str">
        <f>VLOOKUP(B245,INSUMOS!$A:$I,2,FALSE)</f>
        <v>SINAPI</v>
      </c>
      <c r="D245" s="273" t="str">
        <f>VLOOKUP(B245,INSUMOS!$A:$I,3,FALSE)</f>
        <v>EPI - FAMILIA ELETRICISTA - HORISTA (ENCARGOS COMPLEMENTARES - COLETADO CAIXA)</v>
      </c>
      <c r="E245" s="361" t="str">
        <f>VLOOKUP(B245,INSUMOS!$A:$I,4,FALSE)</f>
        <v>Equipamento</v>
      </c>
      <c r="F245" s="361"/>
      <c r="G245" s="264" t="str">
        <f>VLOOKUP(B245,INSUMOS!$A:$I,5,FALSE)</f>
        <v>H</v>
      </c>
      <c r="H245" s="267">
        <v>1</v>
      </c>
      <c r="I245" s="266">
        <f>VLOOKUP(B245,INSUMOS!$A:$I,8,FALSE)</f>
        <v>0.91</v>
      </c>
      <c r="J245" s="266">
        <f t="shared" si="43"/>
        <v>0.91</v>
      </c>
      <c r="K245" s="172"/>
      <c r="L245" s="145">
        <f t="shared" si="35"/>
        <v>25</v>
      </c>
      <c r="M245" s="156">
        <f t="shared" si="36"/>
        <v>0.91</v>
      </c>
      <c r="N245" s="157" t="str">
        <f t="shared" si="37"/>
        <v/>
      </c>
      <c r="O245" s="157">
        <f t="shared" si="38"/>
        <v>0.91</v>
      </c>
      <c r="P245" s="158" t="str">
        <f t="shared" si="39"/>
        <v/>
      </c>
      <c r="Q245" s="157" t="str">
        <f t="shared" si="40"/>
        <v/>
      </c>
      <c r="R245" s="157" t="str">
        <f t="shared" si="41"/>
        <v/>
      </c>
    </row>
    <row r="246" spans="1:18" x14ac:dyDescent="0.25">
      <c r="A246" s="273" t="s">
        <v>31</v>
      </c>
      <c r="B246" s="265" t="s">
        <v>92</v>
      </c>
      <c r="C246" s="273" t="str">
        <f>VLOOKUP(B246,INSUMOS!$A:$I,2,FALSE)</f>
        <v>SINAPI</v>
      </c>
      <c r="D246" s="273" t="str">
        <f>VLOOKUP(B246,INSUMOS!$A:$I,3,FALSE)</f>
        <v>EXAMES - HORISTA (COLETADO CAIXA)</v>
      </c>
      <c r="E246" s="361" t="str">
        <f>VLOOKUP(B246,INSUMOS!$A:$I,4,FALSE)</f>
        <v>Outros</v>
      </c>
      <c r="F246" s="361"/>
      <c r="G246" s="264" t="str">
        <f>VLOOKUP(B246,INSUMOS!$A:$I,5,FALSE)</f>
        <v>H</v>
      </c>
      <c r="H246" s="267">
        <v>1</v>
      </c>
      <c r="I246" s="266">
        <f>VLOOKUP(B246,INSUMOS!$A:$I,8,FALSE)</f>
        <v>0.55000000000000004</v>
      </c>
      <c r="J246" s="266">
        <f t="shared" si="43"/>
        <v>0.55000000000000004</v>
      </c>
      <c r="K246" s="172"/>
      <c r="L246" s="145">
        <f t="shared" si="35"/>
        <v>25</v>
      </c>
      <c r="M246" s="156">
        <f t="shared" si="36"/>
        <v>0.55000000000000004</v>
      </c>
      <c r="N246" s="157" t="str">
        <f t="shared" si="37"/>
        <v/>
      </c>
      <c r="O246" s="157">
        <f t="shared" si="38"/>
        <v>0.55000000000000004</v>
      </c>
      <c r="P246" s="158" t="str">
        <f t="shared" si="39"/>
        <v/>
      </c>
      <c r="Q246" s="157" t="str">
        <f t="shared" si="40"/>
        <v/>
      </c>
      <c r="R246" s="157" t="str">
        <f t="shared" si="41"/>
        <v/>
      </c>
    </row>
    <row r="247" spans="1:18" ht="26.4" x14ac:dyDescent="0.25">
      <c r="A247" s="273" t="s">
        <v>31</v>
      </c>
      <c r="B247" s="265" t="s">
        <v>278</v>
      </c>
      <c r="C247" s="273" t="str">
        <f>VLOOKUP(B247,INSUMOS!$A:$I,2,FALSE)</f>
        <v>SINAPI</v>
      </c>
      <c r="D247" s="273" t="str">
        <f>VLOOKUP(B247,INSUMOS!$A:$I,3,FALSE)</f>
        <v>FERRAMENTAS - FAMILIA ELETRICISTA - HORISTA (ENCARGOS COMPLEMENTARES - COLETADO CAIXA)</v>
      </c>
      <c r="E247" s="361" t="str">
        <f>VLOOKUP(B247,INSUMOS!$A:$I,4,FALSE)</f>
        <v>Equipamento</v>
      </c>
      <c r="F247" s="361"/>
      <c r="G247" s="264" t="str">
        <f>VLOOKUP(B247,INSUMOS!$A:$I,5,FALSE)</f>
        <v>H</v>
      </c>
      <c r="H247" s="267">
        <v>1</v>
      </c>
      <c r="I247" s="266">
        <f>VLOOKUP(B247,INSUMOS!$A:$I,8,FALSE)</f>
        <v>0.62</v>
      </c>
      <c r="J247" s="266">
        <f t="shared" si="43"/>
        <v>0.62</v>
      </c>
      <c r="K247" s="172"/>
      <c r="L247" s="145">
        <f t="shared" si="35"/>
        <v>25</v>
      </c>
      <c r="M247" s="156">
        <f t="shared" si="36"/>
        <v>0.62</v>
      </c>
      <c r="N247" s="157" t="str">
        <f t="shared" si="37"/>
        <v/>
      </c>
      <c r="O247" s="157">
        <f t="shared" si="38"/>
        <v>0.62</v>
      </c>
      <c r="P247" s="158" t="str">
        <f t="shared" si="39"/>
        <v/>
      </c>
      <c r="Q247" s="157" t="str">
        <f t="shared" si="40"/>
        <v/>
      </c>
      <c r="R247" s="157" t="str">
        <f t="shared" si="41"/>
        <v/>
      </c>
    </row>
    <row r="248" spans="1:18" x14ac:dyDescent="0.25">
      <c r="A248" s="273" t="s">
        <v>31</v>
      </c>
      <c r="B248" s="265" t="s">
        <v>94</v>
      </c>
      <c r="C248" s="273" t="str">
        <f>VLOOKUP(B248,INSUMOS!$A:$I,2,FALSE)</f>
        <v>SINAPI</v>
      </c>
      <c r="D248" s="273" t="str">
        <f>VLOOKUP(B248,INSUMOS!$A:$I,3,FALSE)</f>
        <v>SEGURO - HORISTA (COLETADO CAIXA)</v>
      </c>
      <c r="E248" s="361" t="str">
        <f>VLOOKUP(B248,INSUMOS!$A:$I,4,FALSE)</f>
        <v>Taxas</v>
      </c>
      <c r="F248" s="361"/>
      <c r="G248" s="264" t="str">
        <f>VLOOKUP(B248,INSUMOS!$A:$I,5,FALSE)</f>
        <v>H</v>
      </c>
      <c r="H248" s="267">
        <v>1</v>
      </c>
      <c r="I248" s="266">
        <f>VLOOKUP(B248,INSUMOS!$A:$I,8,FALSE)</f>
        <v>0.06</v>
      </c>
      <c r="J248" s="266">
        <f t="shared" si="43"/>
        <v>0.06</v>
      </c>
      <c r="K248" s="172"/>
      <c r="L248" s="145">
        <f t="shared" si="35"/>
        <v>25</v>
      </c>
      <c r="M248" s="156">
        <f t="shared" si="36"/>
        <v>0.06</v>
      </c>
      <c r="N248" s="157" t="str">
        <f t="shared" si="37"/>
        <v/>
      </c>
      <c r="O248" s="157">
        <f t="shared" si="38"/>
        <v>0.06</v>
      </c>
      <c r="P248" s="158" t="str">
        <f t="shared" si="39"/>
        <v/>
      </c>
      <c r="Q248" s="157" t="str">
        <f t="shared" si="40"/>
        <v/>
      </c>
      <c r="R248" s="157" t="str">
        <f t="shared" si="41"/>
        <v/>
      </c>
    </row>
    <row r="249" spans="1:18" ht="15" customHeight="1" x14ac:dyDescent="0.25">
      <c r="A249" s="273" t="s">
        <v>31</v>
      </c>
      <c r="B249" s="265" t="s">
        <v>95</v>
      </c>
      <c r="C249" s="273" t="str">
        <f>VLOOKUP(B249,INSUMOS!$A:$I,2,FALSE)</f>
        <v>SINAPI</v>
      </c>
      <c r="D249" s="273" t="str">
        <f>VLOOKUP(B249,INSUMOS!$A:$I,3,FALSE)</f>
        <v>TRANSPORTE - HORISTA (COLETADO CAIXA)</v>
      </c>
      <c r="E249" s="361" t="str">
        <f>VLOOKUP(B249,INSUMOS!$A:$I,4,FALSE)</f>
        <v>Serviços</v>
      </c>
      <c r="F249" s="361"/>
      <c r="G249" s="264" t="str">
        <f>VLOOKUP(B249,INSUMOS!$A:$I,5,FALSE)</f>
        <v>H</v>
      </c>
      <c r="H249" s="267">
        <v>1</v>
      </c>
      <c r="I249" s="266">
        <f>VLOOKUP(B249,INSUMOS!$A:$I,8,FALSE)</f>
        <v>1.36</v>
      </c>
      <c r="J249" s="266">
        <f t="shared" si="43"/>
        <v>1.36</v>
      </c>
      <c r="K249" s="172"/>
      <c r="L249" s="145">
        <f t="shared" si="35"/>
        <v>25</v>
      </c>
      <c r="M249" s="156">
        <f t="shared" si="36"/>
        <v>1.36</v>
      </c>
      <c r="N249" s="157" t="str">
        <f t="shared" si="37"/>
        <v/>
      </c>
      <c r="O249" s="157">
        <f t="shared" si="38"/>
        <v>1.36</v>
      </c>
      <c r="P249" s="158" t="str">
        <f t="shared" si="39"/>
        <v/>
      </c>
      <c r="Q249" s="157" t="str">
        <f t="shared" si="40"/>
        <v/>
      </c>
      <c r="R249" s="157" t="str">
        <f t="shared" si="41"/>
        <v/>
      </c>
    </row>
    <row r="250" spans="1:18" x14ac:dyDescent="0.25">
      <c r="A250" s="274"/>
      <c r="B250" s="274"/>
      <c r="C250" s="274"/>
      <c r="D250" s="274"/>
      <c r="E250" s="274"/>
      <c r="F250" s="268"/>
      <c r="G250" s="274"/>
      <c r="H250" s="268"/>
      <c r="I250" s="274"/>
      <c r="J250" s="268"/>
      <c r="K250" s="172"/>
      <c r="L250" s="145">
        <f t="shared" si="35"/>
        <v>25</v>
      </c>
      <c r="M250" s="156" t="str">
        <f t="shared" si="36"/>
        <v/>
      </c>
      <c r="N250" s="157" t="str">
        <f t="shared" si="37"/>
        <v/>
      </c>
      <c r="O250" s="157" t="str">
        <f t="shared" si="38"/>
        <v/>
      </c>
      <c r="P250" s="158" t="str">
        <f t="shared" si="39"/>
        <v/>
      </c>
      <c r="Q250" s="157" t="str">
        <f t="shared" si="40"/>
        <v/>
      </c>
      <c r="R250" s="157" t="str">
        <f t="shared" si="41"/>
        <v/>
      </c>
    </row>
    <row r="251" spans="1:18" ht="14.4" thickBot="1" x14ac:dyDescent="0.3">
      <c r="A251" s="274"/>
      <c r="B251" s="274"/>
      <c r="C251" s="274"/>
      <c r="D251" s="274"/>
      <c r="E251" s="274"/>
      <c r="F251" s="268"/>
      <c r="G251" s="274"/>
      <c r="H251" s="350"/>
      <c r="I251" s="350"/>
      <c r="J251" s="268"/>
      <c r="K251" s="172"/>
      <c r="L251" s="145">
        <f t="shared" si="35"/>
        <v>25</v>
      </c>
      <c r="M251" s="156" t="str">
        <f t="shared" si="36"/>
        <v/>
      </c>
      <c r="N251" s="157" t="str">
        <f t="shared" si="37"/>
        <v/>
      </c>
      <c r="O251" s="157" t="str">
        <f t="shared" si="38"/>
        <v/>
      </c>
      <c r="P251" s="158" t="str">
        <f t="shared" si="39"/>
        <v/>
      </c>
      <c r="Q251" s="157" t="str">
        <f t="shared" si="40"/>
        <v/>
      </c>
      <c r="R251" s="157" t="str">
        <f t="shared" si="41"/>
        <v/>
      </c>
    </row>
    <row r="252" spans="1:18" ht="25.5" customHeight="1" thickTop="1" x14ac:dyDescent="0.25">
      <c r="A252" s="259"/>
      <c r="B252" s="259"/>
      <c r="C252" s="259"/>
      <c r="D252" s="259"/>
      <c r="E252" s="259"/>
      <c r="F252" s="259"/>
      <c r="G252" s="259"/>
      <c r="H252" s="259"/>
      <c r="I252" s="259"/>
      <c r="J252" s="259"/>
      <c r="K252" s="172"/>
      <c r="L252" s="145">
        <f t="shared" si="35"/>
        <v>25</v>
      </c>
      <c r="M252" s="156" t="str">
        <f t="shared" si="36"/>
        <v/>
      </c>
      <c r="N252" s="157" t="str">
        <f t="shared" si="37"/>
        <v/>
      </c>
      <c r="O252" s="157" t="str">
        <f t="shared" si="38"/>
        <v/>
      </c>
      <c r="P252" s="158" t="str">
        <f t="shared" si="39"/>
        <v/>
      </c>
      <c r="Q252" s="157" t="str">
        <f t="shared" si="40"/>
        <v/>
      </c>
      <c r="R252" s="157" t="str">
        <f t="shared" si="41"/>
        <v/>
      </c>
    </row>
    <row r="253" spans="1:18" x14ac:dyDescent="0.25">
      <c r="A253" s="270"/>
      <c r="B253" s="254" t="s">
        <v>1</v>
      </c>
      <c r="C253" s="270" t="s">
        <v>2</v>
      </c>
      <c r="D253" s="270" t="s">
        <v>3</v>
      </c>
      <c r="E253" s="347" t="s">
        <v>19</v>
      </c>
      <c r="F253" s="347"/>
      <c r="G253" s="253" t="s">
        <v>4</v>
      </c>
      <c r="H253" s="254" t="s">
        <v>5</v>
      </c>
      <c r="I253" s="254" t="s">
        <v>6</v>
      </c>
      <c r="J253" s="254" t="s">
        <v>7</v>
      </c>
      <c r="K253" s="172"/>
      <c r="L253" s="145">
        <f t="shared" si="35"/>
        <v>26</v>
      </c>
      <c r="M253" s="156" t="str">
        <f t="shared" si="36"/>
        <v/>
      </c>
      <c r="N253" s="157" t="str">
        <f t="shared" si="37"/>
        <v/>
      </c>
      <c r="O253" s="157" t="str">
        <f t="shared" si="38"/>
        <v/>
      </c>
      <c r="P253" s="158" t="str">
        <f t="shared" si="39"/>
        <v/>
      </c>
      <c r="Q253" s="157" t="str">
        <f t="shared" si="40"/>
        <v/>
      </c>
      <c r="R253" s="157" t="str">
        <f t="shared" si="41"/>
        <v/>
      </c>
    </row>
    <row r="254" spans="1:18" ht="26.4" x14ac:dyDescent="0.25">
      <c r="A254" s="271" t="s">
        <v>20</v>
      </c>
      <c r="B254" s="256" t="s">
        <v>302</v>
      </c>
      <c r="C254" s="271" t="s">
        <v>10</v>
      </c>
      <c r="D254" s="271" t="s">
        <v>303</v>
      </c>
      <c r="E254" s="362" t="s">
        <v>27</v>
      </c>
      <c r="F254" s="362"/>
      <c r="G254" s="255" t="s">
        <v>28</v>
      </c>
      <c r="H254" s="258">
        <v>1</v>
      </c>
      <c r="I254" s="257">
        <f>SUMIF(L:L,$L254,M:M)</f>
        <v>18.23</v>
      </c>
      <c r="J254" s="257">
        <f t="shared" ref="J254:J262" si="44">TRUNC(H254*I254,2)</f>
        <v>18.23</v>
      </c>
      <c r="K254" s="172"/>
      <c r="L254" s="145">
        <f t="shared" si="35"/>
        <v>26</v>
      </c>
      <c r="M254" s="156" t="str">
        <f t="shared" si="36"/>
        <v/>
      </c>
      <c r="N254" s="157" t="str">
        <f t="shared" si="37"/>
        <v/>
      </c>
      <c r="O254" s="157" t="str">
        <f t="shared" si="38"/>
        <v/>
      </c>
      <c r="P254" s="158" t="str">
        <f t="shared" si="39"/>
        <v xml:space="preserve"> 88248 </v>
      </c>
      <c r="Q254" s="157">
        <f t="shared" si="40"/>
        <v>12.41</v>
      </c>
      <c r="R254" s="157">
        <f t="shared" si="41"/>
        <v>5.82</v>
      </c>
    </row>
    <row r="255" spans="1:18" ht="26.4" x14ac:dyDescent="0.25">
      <c r="A255" s="272" t="s">
        <v>22</v>
      </c>
      <c r="B255" s="261" t="s">
        <v>304</v>
      </c>
      <c r="C255" s="272" t="s">
        <v>10</v>
      </c>
      <c r="D255" s="272" t="s">
        <v>305</v>
      </c>
      <c r="E255" s="363" t="s">
        <v>27</v>
      </c>
      <c r="F255" s="363"/>
      <c r="G255" s="260" t="s">
        <v>28</v>
      </c>
      <c r="H255" s="263">
        <v>1</v>
      </c>
      <c r="I255" s="262">
        <f>SUMIFS(J:J,A:A,"Composição",B:B,$B255)</f>
        <v>0.15</v>
      </c>
      <c r="J255" s="262">
        <f t="shared" si="44"/>
        <v>0.15</v>
      </c>
      <c r="K255" s="172"/>
      <c r="L255" s="145">
        <f t="shared" si="35"/>
        <v>26</v>
      </c>
      <c r="M255" s="156">
        <f t="shared" si="36"/>
        <v>0.15</v>
      </c>
      <c r="N255" s="157" t="str">
        <f t="shared" si="37"/>
        <v/>
      </c>
      <c r="O255" s="157">
        <f t="shared" si="38"/>
        <v>0.15</v>
      </c>
      <c r="P255" s="158" t="str">
        <f t="shared" si="39"/>
        <v/>
      </c>
      <c r="Q255" s="157" t="str">
        <f t="shared" si="40"/>
        <v/>
      </c>
      <c r="R255" s="157" t="str">
        <f t="shared" si="41"/>
        <v/>
      </c>
    </row>
    <row r="256" spans="1:18" ht="15" customHeight="1" x14ac:dyDescent="0.25">
      <c r="A256" s="273" t="s">
        <v>31</v>
      </c>
      <c r="B256" s="265" t="s">
        <v>90</v>
      </c>
      <c r="C256" s="273" t="str">
        <f>VLOOKUP(B256,INSUMOS!$A:$I,2,FALSE)</f>
        <v>SINAPI</v>
      </c>
      <c r="D256" s="273" t="str">
        <f>VLOOKUP(B256,INSUMOS!$A:$I,3,FALSE)</f>
        <v>ALIMENTACAO - HORISTA (COLETADO CAIXA)</v>
      </c>
      <c r="E256" s="361" t="str">
        <f>VLOOKUP(B256,INSUMOS!$A:$I,4,FALSE)</f>
        <v>Outros</v>
      </c>
      <c r="F256" s="361"/>
      <c r="G256" s="264" t="str">
        <f>VLOOKUP(B256,INSUMOS!$A:$I,5,FALSE)</f>
        <v>H</v>
      </c>
      <c r="H256" s="267">
        <v>1</v>
      </c>
      <c r="I256" s="266">
        <f>VLOOKUP(B256,INSUMOS!$A:$I,8,FALSE)</f>
        <v>2.62</v>
      </c>
      <c r="J256" s="266">
        <f t="shared" si="44"/>
        <v>2.62</v>
      </c>
      <c r="K256" s="172"/>
      <c r="L256" s="145">
        <f t="shared" si="35"/>
        <v>26</v>
      </c>
      <c r="M256" s="156">
        <f t="shared" si="36"/>
        <v>2.62</v>
      </c>
      <c r="N256" s="157" t="str">
        <f t="shared" si="37"/>
        <v/>
      </c>
      <c r="O256" s="157">
        <f t="shared" si="38"/>
        <v>2.62</v>
      </c>
      <c r="P256" s="158" t="str">
        <f t="shared" si="39"/>
        <v/>
      </c>
      <c r="Q256" s="157" t="str">
        <f t="shared" si="40"/>
        <v/>
      </c>
      <c r="R256" s="157" t="str">
        <f t="shared" si="41"/>
        <v/>
      </c>
    </row>
    <row r="257" spans="1:18" x14ac:dyDescent="0.25">
      <c r="A257" s="273" t="s">
        <v>31</v>
      </c>
      <c r="B257" s="265" t="s">
        <v>267</v>
      </c>
      <c r="C257" s="273" t="str">
        <f>VLOOKUP(B257,INSUMOS!$A:$I,2,FALSE)</f>
        <v>SINAPI</v>
      </c>
      <c r="D257" s="273" t="str">
        <f>VLOOKUP(B257,INSUMOS!$A:$I,3,FALSE)</f>
        <v>AUXILIAR DE ENCANADOR OU BOMBEIRO HIDRAULICO</v>
      </c>
      <c r="E257" s="361" t="str">
        <f>VLOOKUP(B257,INSUMOS!$A:$I,4,FALSE)</f>
        <v>Mão de Obra</v>
      </c>
      <c r="F257" s="361"/>
      <c r="G257" s="264" t="str">
        <f>VLOOKUP(B257,INSUMOS!$A:$I,5,FALSE)</f>
        <v>H</v>
      </c>
      <c r="H257" s="267">
        <v>1</v>
      </c>
      <c r="I257" s="266">
        <f>VLOOKUP(B257,INSUMOS!$A:$I,8,FALSE)</f>
        <v>12.41</v>
      </c>
      <c r="J257" s="266">
        <f t="shared" si="44"/>
        <v>12.41</v>
      </c>
      <c r="K257" s="172"/>
      <c r="L257" s="145">
        <f t="shared" si="35"/>
        <v>26</v>
      </c>
      <c r="M257" s="156">
        <f t="shared" si="36"/>
        <v>12.41</v>
      </c>
      <c r="N257" s="157">
        <f t="shared" si="37"/>
        <v>12.41</v>
      </c>
      <c r="O257" s="157" t="str">
        <f t="shared" si="38"/>
        <v/>
      </c>
      <c r="P257" s="158" t="str">
        <f t="shared" si="39"/>
        <v/>
      </c>
      <c r="Q257" s="157" t="str">
        <f t="shared" si="40"/>
        <v/>
      </c>
      <c r="R257" s="157" t="str">
        <f t="shared" si="41"/>
        <v/>
      </c>
    </row>
    <row r="258" spans="1:18" ht="26.4" x14ac:dyDescent="0.25">
      <c r="A258" s="273" t="s">
        <v>31</v>
      </c>
      <c r="B258" s="265" t="s">
        <v>276</v>
      </c>
      <c r="C258" s="273" t="str">
        <f>VLOOKUP(B258,INSUMOS!$A:$I,2,FALSE)</f>
        <v>SINAPI</v>
      </c>
      <c r="D258" s="273" t="str">
        <f>VLOOKUP(B258,INSUMOS!$A:$I,3,FALSE)</f>
        <v>EPI - FAMILIA ENCANADOR - HORISTA (ENCARGOS COMPLEMENTARES - COLETADO CAIXA)</v>
      </c>
      <c r="E258" s="361" t="str">
        <f>VLOOKUP(B258,INSUMOS!$A:$I,4,FALSE)</f>
        <v>Equipamento</v>
      </c>
      <c r="F258" s="361"/>
      <c r="G258" s="264" t="str">
        <f>VLOOKUP(B258,INSUMOS!$A:$I,5,FALSE)</f>
        <v>H</v>
      </c>
      <c r="H258" s="267">
        <v>1</v>
      </c>
      <c r="I258" s="266">
        <f>VLOOKUP(B258,INSUMOS!$A:$I,8,FALSE)</f>
        <v>0.8</v>
      </c>
      <c r="J258" s="266">
        <f t="shared" si="44"/>
        <v>0.8</v>
      </c>
      <c r="K258" s="172"/>
      <c r="L258" s="145">
        <f t="shared" si="35"/>
        <v>26</v>
      </c>
      <c r="M258" s="156">
        <f t="shared" si="36"/>
        <v>0.8</v>
      </c>
      <c r="N258" s="157" t="str">
        <f t="shared" si="37"/>
        <v/>
      </c>
      <c r="O258" s="157">
        <f t="shared" si="38"/>
        <v>0.8</v>
      </c>
      <c r="P258" s="158" t="str">
        <f t="shared" si="39"/>
        <v/>
      </c>
      <c r="Q258" s="157" t="str">
        <f t="shared" si="40"/>
        <v/>
      </c>
      <c r="R258" s="157" t="str">
        <f t="shared" si="41"/>
        <v/>
      </c>
    </row>
    <row r="259" spans="1:18" ht="25.5" customHeight="1" x14ac:dyDescent="0.25">
      <c r="A259" s="273" t="s">
        <v>31</v>
      </c>
      <c r="B259" s="265" t="s">
        <v>92</v>
      </c>
      <c r="C259" s="273" t="str">
        <f>VLOOKUP(B259,INSUMOS!$A:$I,2,FALSE)</f>
        <v>SINAPI</v>
      </c>
      <c r="D259" s="273" t="str">
        <f>VLOOKUP(B259,INSUMOS!$A:$I,3,FALSE)</f>
        <v>EXAMES - HORISTA (COLETADO CAIXA)</v>
      </c>
      <c r="E259" s="361" t="str">
        <f>VLOOKUP(B259,INSUMOS!$A:$I,4,FALSE)</f>
        <v>Outros</v>
      </c>
      <c r="F259" s="361"/>
      <c r="G259" s="264" t="str">
        <f>VLOOKUP(B259,INSUMOS!$A:$I,5,FALSE)</f>
        <v>H</v>
      </c>
      <c r="H259" s="267">
        <v>1</v>
      </c>
      <c r="I259" s="266">
        <f>VLOOKUP(B259,INSUMOS!$A:$I,8,FALSE)</f>
        <v>0.55000000000000004</v>
      </c>
      <c r="J259" s="266">
        <f t="shared" si="44"/>
        <v>0.55000000000000004</v>
      </c>
      <c r="K259" s="172"/>
      <c r="L259" s="145">
        <f t="shared" si="35"/>
        <v>26</v>
      </c>
      <c r="M259" s="156">
        <f t="shared" si="36"/>
        <v>0.55000000000000004</v>
      </c>
      <c r="N259" s="157" t="str">
        <f t="shared" si="37"/>
        <v/>
      </c>
      <c r="O259" s="157">
        <f t="shared" si="38"/>
        <v>0.55000000000000004</v>
      </c>
      <c r="P259" s="158" t="str">
        <f t="shared" si="39"/>
        <v/>
      </c>
      <c r="Q259" s="157" t="str">
        <f t="shared" si="40"/>
        <v/>
      </c>
      <c r="R259" s="157" t="str">
        <f t="shared" si="41"/>
        <v/>
      </c>
    </row>
    <row r="260" spans="1:18" ht="25.5" customHeight="1" x14ac:dyDescent="0.25">
      <c r="A260" s="273" t="s">
        <v>31</v>
      </c>
      <c r="B260" s="265" t="s">
        <v>281</v>
      </c>
      <c r="C260" s="273" t="str">
        <f>VLOOKUP(B260,INSUMOS!$A:$I,2,FALSE)</f>
        <v>SINAPI</v>
      </c>
      <c r="D260" s="273" t="str">
        <f>VLOOKUP(B260,INSUMOS!$A:$I,3,FALSE)</f>
        <v>FERRAMENTAS - FAMILIA ENCANADOR - HORISTA (ENCARGOS COMPLEMENTARES - COLETADO CAIXA)</v>
      </c>
      <c r="E260" s="361" t="str">
        <f>VLOOKUP(B260,INSUMOS!$A:$I,4,FALSE)</f>
        <v>Equipamento</v>
      </c>
      <c r="F260" s="361"/>
      <c r="G260" s="264" t="str">
        <f>VLOOKUP(B260,INSUMOS!$A:$I,5,FALSE)</f>
        <v>H</v>
      </c>
      <c r="H260" s="267">
        <v>1</v>
      </c>
      <c r="I260" s="266">
        <f>VLOOKUP(B260,INSUMOS!$A:$I,8,FALSE)</f>
        <v>0.28000000000000003</v>
      </c>
      <c r="J260" s="266">
        <f t="shared" si="44"/>
        <v>0.28000000000000003</v>
      </c>
      <c r="K260" s="172"/>
      <c r="L260" s="145">
        <f t="shared" si="35"/>
        <v>26</v>
      </c>
      <c r="M260" s="156">
        <f t="shared" si="36"/>
        <v>0.28000000000000003</v>
      </c>
      <c r="N260" s="157" t="str">
        <f t="shared" si="37"/>
        <v/>
      </c>
      <c r="O260" s="157">
        <f t="shared" si="38"/>
        <v>0.28000000000000003</v>
      </c>
      <c r="P260" s="158" t="str">
        <f t="shared" si="39"/>
        <v/>
      </c>
      <c r="Q260" s="157" t="str">
        <f t="shared" si="40"/>
        <v/>
      </c>
      <c r="R260" s="157" t="str">
        <f t="shared" si="41"/>
        <v/>
      </c>
    </row>
    <row r="261" spans="1:18" ht="25.5" customHeight="1" x14ac:dyDescent="0.25">
      <c r="A261" s="273" t="s">
        <v>31</v>
      </c>
      <c r="B261" s="265" t="s">
        <v>94</v>
      </c>
      <c r="C261" s="273" t="str">
        <f>VLOOKUP(B261,INSUMOS!$A:$I,2,FALSE)</f>
        <v>SINAPI</v>
      </c>
      <c r="D261" s="273" t="str">
        <f>VLOOKUP(B261,INSUMOS!$A:$I,3,FALSE)</f>
        <v>SEGURO - HORISTA (COLETADO CAIXA)</v>
      </c>
      <c r="E261" s="361" t="str">
        <f>VLOOKUP(B261,INSUMOS!$A:$I,4,FALSE)</f>
        <v>Taxas</v>
      </c>
      <c r="F261" s="361"/>
      <c r="G261" s="264" t="str">
        <f>VLOOKUP(B261,INSUMOS!$A:$I,5,FALSE)</f>
        <v>H</v>
      </c>
      <c r="H261" s="267">
        <v>1</v>
      </c>
      <c r="I261" s="266">
        <f>VLOOKUP(B261,INSUMOS!$A:$I,8,FALSE)</f>
        <v>0.06</v>
      </c>
      <c r="J261" s="266">
        <f t="shared" si="44"/>
        <v>0.06</v>
      </c>
      <c r="K261" s="172"/>
      <c r="L261" s="145">
        <f t="shared" si="35"/>
        <v>26</v>
      </c>
      <c r="M261" s="156">
        <f t="shared" si="36"/>
        <v>0.06</v>
      </c>
      <c r="N261" s="157" t="str">
        <f t="shared" si="37"/>
        <v/>
      </c>
      <c r="O261" s="157">
        <f t="shared" si="38"/>
        <v>0.06</v>
      </c>
      <c r="P261" s="158" t="str">
        <f t="shared" si="39"/>
        <v/>
      </c>
      <c r="Q261" s="157" t="str">
        <f t="shared" si="40"/>
        <v/>
      </c>
      <c r="R261" s="157" t="str">
        <f t="shared" si="41"/>
        <v/>
      </c>
    </row>
    <row r="262" spans="1:18" ht="25.5" customHeight="1" x14ac:dyDescent="0.25">
      <c r="A262" s="273" t="s">
        <v>31</v>
      </c>
      <c r="B262" s="265" t="s">
        <v>95</v>
      </c>
      <c r="C262" s="273" t="str">
        <f>VLOOKUP(B262,INSUMOS!$A:$I,2,FALSE)</f>
        <v>SINAPI</v>
      </c>
      <c r="D262" s="273" t="str">
        <f>VLOOKUP(B262,INSUMOS!$A:$I,3,FALSE)</f>
        <v>TRANSPORTE - HORISTA (COLETADO CAIXA)</v>
      </c>
      <c r="E262" s="361" t="str">
        <f>VLOOKUP(B262,INSUMOS!$A:$I,4,FALSE)</f>
        <v>Serviços</v>
      </c>
      <c r="F262" s="361"/>
      <c r="G262" s="264" t="str">
        <f>VLOOKUP(B262,INSUMOS!$A:$I,5,FALSE)</f>
        <v>H</v>
      </c>
      <c r="H262" s="267">
        <v>1</v>
      </c>
      <c r="I262" s="266">
        <f>VLOOKUP(B262,INSUMOS!$A:$I,8,FALSE)</f>
        <v>1.36</v>
      </c>
      <c r="J262" s="266">
        <f t="shared" si="44"/>
        <v>1.36</v>
      </c>
      <c r="K262" s="172"/>
      <c r="L262" s="145">
        <f t="shared" si="35"/>
        <v>26</v>
      </c>
      <c r="M262" s="156">
        <f t="shared" si="36"/>
        <v>1.36</v>
      </c>
      <c r="N262" s="157" t="str">
        <f t="shared" si="37"/>
        <v/>
      </c>
      <c r="O262" s="157">
        <f t="shared" si="38"/>
        <v>1.36</v>
      </c>
      <c r="P262" s="158" t="str">
        <f t="shared" si="39"/>
        <v/>
      </c>
      <c r="Q262" s="157" t="str">
        <f t="shared" si="40"/>
        <v/>
      </c>
      <c r="R262" s="157" t="str">
        <f t="shared" si="41"/>
        <v/>
      </c>
    </row>
    <row r="263" spans="1:18" x14ac:dyDescent="0.25">
      <c r="A263" s="274"/>
      <c r="B263" s="274"/>
      <c r="C263" s="274"/>
      <c r="D263" s="274"/>
      <c r="E263" s="274"/>
      <c r="F263" s="268"/>
      <c r="G263" s="274"/>
      <c r="H263" s="268"/>
      <c r="I263" s="274"/>
      <c r="J263" s="268"/>
      <c r="K263" s="172"/>
      <c r="L263" s="145">
        <f t="shared" si="35"/>
        <v>26</v>
      </c>
      <c r="M263" s="156" t="str">
        <f t="shared" si="36"/>
        <v/>
      </c>
      <c r="N263" s="157" t="str">
        <f t="shared" si="37"/>
        <v/>
      </c>
      <c r="O263" s="157" t="str">
        <f t="shared" si="38"/>
        <v/>
      </c>
      <c r="P263" s="158" t="str">
        <f t="shared" si="39"/>
        <v/>
      </c>
      <c r="Q263" s="157" t="str">
        <f t="shared" si="40"/>
        <v/>
      </c>
      <c r="R263" s="157" t="str">
        <f t="shared" si="41"/>
        <v/>
      </c>
    </row>
    <row r="264" spans="1:18" ht="14.4" thickBot="1" x14ac:dyDescent="0.3">
      <c r="A264" s="274"/>
      <c r="B264" s="274"/>
      <c r="C264" s="274"/>
      <c r="D264" s="274"/>
      <c r="E264" s="274"/>
      <c r="F264" s="268"/>
      <c r="G264" s="274"/>
      <c r="H264" s="350"/>
      <c r="I264" s="350"/>
      <c r="J264" s="268"/>
      <c r="K264" s="172"/>
      <c r="L264" s="145">
        <f t="shared" si="35"/>
        <v>26</v>
      </c>
      <c r="M264" s="156" t="str">
        <f t="shared" si="36"/>
        <v/>
      </c>
      <c r="N264" s="157" t="str">
        <f t="shared" si="37"/>
        <v/>
      </c>
      <c r="O264" s="157" t="str">
        <f t="shared" si="38"/>
        <v/>
      </c>
      <c r="P264" s="158" t="str">
        <f t="shared" si="39"/>
        <v/>
      </c>
      <c r="Q264" s="157" t="str">
        <f t="shared" si="40"/>
        <v/>
      </c>
      <c r="R264" s="157" t="str">
        <f t="shared" si="41"/>
        <v/>
      </c>
    </row>
    <row r="265" spans="1:18" ht="15" customHeight="1" thickTop="1" x14ac:dyDescent="0.25">
      <c r="A265" s="259"/>
      <c r="B265" s="259"/>
      <c r="C265" s="259"/>
      <c r="D265" s="259"/>
      <c r="E265" s="259"/>
      <c r="F265" s="259"/>
      <c r="G265" s="259"/>
      <c r="H265" s="259"/>
      <c r="I265" s="259"/>
      <c r="J265" s="259"/>
      <c r="K265" s="172"/>
      <c r="L265" s="145">
        <f t="shared" si="35"/>
        <v>26</v>
      </c>
      <c r="M265" s="156" t="str">
        <f t="shared" si="36"/>
        <v/>
      </c>
      <c r="N265" s="157" t="str">
        <f t="shared" si="37"/>
        <v/>
      </c>
      <c r="O265" s="157" t="str">
        <f t="shared" si="38"/>
        <v/>
      </c>
      <c r="P265" s="158" t="str">
        <f t="shared" si="39"/>
        <v/>
      </c>
      <c r="Q265" s="157" t="str">
        <f t="shared" si="40"/>
        <v/>
      </c>
      <c r="R265" s="157" t="str">
        <f t="shared" si="41"/>
        <v/>
      </c>
    </row>
    <row r="266" spans="1:18" x14ac:dyDescent="0.25">
      <c r="A266" s="270"/>
      <c r="B266" s="254" t="s">
        <v>1</v>
      </c>
      <c r="C266" s="270" t="s">
        <v>2</v>
      </c>
      <c r="D266" s="270" t="s">
        <v>3</v>
      </c>
      <c r="E266" s="347" t="s">
        <v>19</v>
      </c>
      <c r="F266" s="347"/>
      <c r="G266" s="253" t="s">
        <v>4</v>
      </c>
      <c r="H266" s="254" t="s">
        <v>5</v>
      </c>
      <c r="I266" s="254" t="s">
        <v>6</v>
      </c>
      <c r="J266" s="254" t="s">
        <v>7</v>
      </c>
      <c r="K266" s="172"/>
      <c r="L266" s="145">
        <f t="shared" si="35"/>
        <v>27</v>
      </c>
      <c r="M266" s="156" t="str">
        <f t="shared" si="36"/>
        <v/>
      </c>
      <c r="N266" s="157" t="str">
        <f t="shared" si="37"/>
        <v/>
      </c>
      <c r="O266" s="157" t="str">
        <f t="shared" si="38"/>
        <v/>
      </c>
      <c r="P266" s="158" t="str">
        <f t="shared" si="39"/>
        <v/>
      </c>
      <c r="Q266" s="157" t="str">
        <f t="shared" si="40"/>
        <v/>
      </c>
      <c r="R266" s="157" t="str">
        <f t="shared" si="41"/>
        <v/>
      </c>
    </row>
    <row r="267" spans="1:18" ht="39.6" x14ac:dyDescent="0.25">
      <c r="A267" s="271" t="s">
        <v>20</v>
      </c>
      <c r="B267" s="256" t="s">
        <v>100</v>
      </c>
      <c r="C267" s="271" t="s">
        <v>10</v>
      </c>
      <c r="D267" s="271" t="s">
        <v>360</v>
      </c>
      <c r="E267" s="362" t="s">
        <v>44</v>
      </c>
      <c r="F267" s="362"/>
      <c r="G267" s="255" t="s">
        <v>46</v>
      </c>
      <c r="H267" s="258">
        <v>1</v>
      </c>
      <c r="I267" s="257">
        <f>SUMIF(L:L,$L267,M:M)</f>
        <v>0.29000000000000004</v>
      </c>
      <c r="J267" s="257">
        <f>TRUNC(H267*I267,2)</f>
        <v>0.28999999999999998</v>
      </c>
      <c r="K267" s="172"/>
      <c r="L267" s="145">
        <f t="shared" si="35"/>
        <v>27</v>
      </c>
      <c r="M267" s="156" t="str">
        <f t="shared" si="36"/>
        <v/>
      </c>
      <c r="N267" s="157" t="str">
        <f t="shared" si="37"/>
        <v/>
      </c>
      <c r="O267" s="157" t="str">
        <f t="shared" si="38"/>
        <v/>
      </c>
      <c r="P267" s="158" t="str">
        <f t="shared" si="39"/>
        <v xml:space="preserve"> 88831 </v>
      </c>
      <c r="Q267" s="157">
        <f t="shared" si="40"/>
        <v>0</v>
      </c>
      <c r="R267" s="157">
        <f t="shared" si="41"/>
        <v>0.29000000000000004</v>
      </c>
    </row>
    <row r="268" spans="1:18" ht="25.5" customHeight="1" x14ac:dyDescent="0.25">
      <c r="A268" s="272" t="s">
        <v>22</v>
      </c>
      <c r="B268" s="261" t="s">
        <v>104</v>
      </c>
      <c r="C268" s="272" t="s">
        <v>10</v>
      </c>
      <c r="D268" s="272" t="s">
        <v>362</v>
      </c>
      <c r="E268" s="363" t="s">
        <v>44</v>
      </c>
      <c r="F268" s="363"/>
      <c r="G268" s="260" t="s">
        <v>28</v>
      </c>
      <c r="H268" s="263">
        <v>1</v>
      </c>
      <c r="I268" s="262">
        <f>SUMIFS(J:J,A:A,"Composição",B:B,$B268)</f>
        <v>0.03</v>
      </c>
      <c r="J268" s="262">
        <f>TRUNC(H268*I268,2)</f>
        <v>0.03</v>
      </c>
      <c r="K268" s="172"/>
      <c r="L268" s="145">
        <f t="shared" si="35"/>
        <v>27</v>
      </c>
      <c r="M268" s="156">
        <f t="shared" si="36"/>
        <v>0.03</v>
      </c>
      <c r="N268" s="157" t="str">
        <f t="shared" si="37"/>
        <v/>
      </c>
      <c r="O268" s="157">
        <f t="shared" si="38"/>
        <v>0.03</v>
      </c>
      <c r="P268" s="158" t="str">
        <f t="shared" si="39"/>
        <v/>
      </c>
      <c r="Q268" s="157" t="str">
        <f t="shared" si="40"/>
        <v/>
      </c>
      <c r="R268" s="157" t="str">
        <f t="shared" si="41"/>
        <v/>
      </c>
    </row>
    <row r="269" spans="1:18" ht="25.5" customHeight="1" x14ac:dyDescent="0.25">
      <c r="A269" s="272" t="s">
        <v>22</v>
      </c>
      <c r="B269" s="261" t="s">
        <v>103</v>
      </c>
      <c r="C269" s="272" t="s">
        <v>10</v>
      </c>
      <c r="D269" s="272" t="s">
        <v>361</v>
      </c>
      <c r="E269" s="363" t="s">
        <v>44</v>
      </c>
      <c r="F269" s="363"/>
      <c r="G269" s="260" t="s">
        <v>28</v>
      </c>
      <c r="H269" s="263">
        <v>1</v>
      </c>
      <c r="I269" s="262">
        <f>SUMIFS(J:J,A:A,"Composição",B:B,$B269)</f>
        <v>0.26</v>
      </c>
      <c r="J269" s="262">
        <f>TRUNC(H269*I269,2)</f>
        <v>0.26</v>
      </c>
      <c r="K269" s="172"/>
      <c r="L269" s="145">
        <f t="shared" si="35"/>
        <v>27</v>
      </c>
      <c r="M269" s="156">
        <f t="shared" si="36"/>
        <v>0.26</v>
      </c>
      <c r="N269" s="157" t="str">
        <f t="shared" si="37"/>
        <v/>
      </c>
      <c r="O269" s="157">
        <f t="shared" si="38"/>
        <v>0.26</v>
      </c>
      <c r="P269" s="158" t="str">
        <f t="shared" si="39"/>
        <v/>
      </c>
      <c r="Q269" s="157" t="str">
        <f t="shared" si="40"/>
        <v/>
      </c>
      <c r="R269" s="157" t="str">
        <f t="shared" si="41"/>
        <v/>
      </c>
    </row>
    <row r="270" spans="1:18" ht="14.25" customHeight="1" x14ac:dyDescent="0.25">
      <c r="A270" s="274"/>
      <c r="B270" s="274"/>
      <c r="C270" s="274"/>
      <c r="D270" s="274"/>
      <c r="E270" s="274"/>
      <c r="F270" s="268"/>
      <c r="G270" s="274"/>
      <c r="H270" s="268"/>
      <c r="I270" s="274"/>
      <c r="J270" s="268"/>
      <c r="K270" s="172"/>
      <c r="L270" s="145">
        <f t="shared" si="35"/>
        <v>27</v>
      </c>
      <c r="M270" s="156" t="str">
        <f t="shared" si="36"/>
        <v/>
      </c>
      <c r="N270" s="157" t="str">
        <f t="shared" si="37"/>
        <v/>
      </c>
      <c r="O270" s="157" t="str">
        <f t="shared" si="38"/>
        <v/>
      </c>
      <c r="P270" s="158" t="str">
        <f t="shared" si="39"/>
        <v/>
      </c>
      <c r="Q270" s="157" t="str">
        <f t="shared" si="40"/>
        <v/>
      </c>
      <c r="R270" s="157" t="str">
        <f t="shared" si="41"/>
        <v/>
      </c>
    </row>
    <row r="271" spans="1:18" ht="15" customHeight="1" thickBot="1" x14ac:dyDescent="0.3">
      <c r="A271" s="274"/>
      <c r="B271" s="274"/>
      <c r="C271" s="274"/>
      <c r="D271" s="274"/>
      <c r="E271" s="274"/>
      <c r="F271" s="268"/>
      <c r="G271" s="274"/>
      <c r="H271" s="350"/>
      <c r="I271" s="350"/>
      <c r="J271" s="268"/>
      <c r="K271" s="172"/>
      <c r="L271" s="145">
        <f t="shared" si="35"/>
        <v>27</v>
      </c>
      <c r="M271" s="156" t="str">
        <f t="shared" si="36"/>
        <v/>
      </c>
      <c r="N271" s="157" t="str">
        <f t="shared" si="37"/>
        <v/>
      </c>
      <c r="O271" s="157" t="str">
        <f t="shared" si="38"/>
        <v/>
      </c>
      <c r="P271" s="158" t="str">
        <f t="shared" si="39"/>
        <v/>
      </c>
      <c r="Q271" s="157" t="str">
        <f t="shared" si="40"/>
        <v/>
      </c>
      <c r="R271" s="157" t="str">
        <f t="shared" si="41"/>
        <v/>
      </c>
    </row>
    <row r="272" spans="1:18" ht="14.4" thickTop="1" x14ac:dyDescent="0.25">
      <c r="A272" s="259"/>
      <c r="B272" s="259"/>
      <c r="C272" s="259"/>
      <c r="D272" s="259"/>
      <c r="E272" s="259"/>
      <c r="F272" s="259"/>
      <c r="G272" s="259"/>
      <c r="H272" s="259"/>
      <c r="I272" s="259"/>
      <c r="J272" s="259"/>
      <c r="K272" s="172"/>
      <c r="L272" s="145">
        <f t="shared" si="35"/>
        <v>27</v>
      </c>
      <c r="M272" s="156" t="str">
        <f t="shared" si="36"/>
        <v/>
      </c>
      <c r="N272" s="157" t="str">
        <f t="shared" si="37"/>
        <v/>
      </c>
      <c r="O272" s="157" t="str">
        <f t="shared" si="38"/>
        <v/>
      </c>
      <c r="P272" s="158" t="str">
        <f t="shared" si="39"/>
        <v/>
      </c>
      <c r="Q272" s="157" t="str">
        <f t="shared" si="40"/>
        <v/>
      </c>
      <c r="R272" s="157" t="str">
        <f t="shared" si="41"/>
        <v/>
      </c>
    </row>
    <row r="273" spans="1:18" x14ac:dyDescent="0.25">
      <c r="A273" s="270"/>
      <c r="B273" s="254" t="s">
        <v>1</v>
      </c>
      <c r="C273" s="270" t="s">
        <v>2</v>
      </c>
      <c r="D273" s="270" t="s">
        <v>3</v>
      </c>
      <c r="E273" s="347" t="s">
        <v>19</v>
      </c>
      <c r="F273" s="347"/>
      <c r="G273" s="253" t="s">
        <v>4</v>
      </c>
      <c r="H273" s="254" t="s">
        <v>5</v>
      </c>
      <c r="I273" s="254" t="s">
        <v>6</v>
      </c>
      <c r="J273" s="254" t="s">
        <v>7</v>
      </c>
      <c r="K273" s="172"/>
      <c r="L273" s="145">
        <f t="shared" ref="L273:L336" si="45">IF(AND(A274&lt;&gt;"",A273=""),L272+1,L272)</f>
        <v>28</v>
      </c>
      <c r="M273" s="156" t="str">
        <f t="shared" ref="M273:M336" si="46">IF(OR(A273="Insumo",A273="Composição Auxiliar"),J273,"")</f>
        <v/>
      </c>
      <c r="N273" s="157" t="str">
        <f t="shared" ref="N273:N336" si="47">IF(E273="Mão de Obra",J273,"")</f>
        <v/>
      </c>
      <c r="O273" s="157" t="str">
        <f t="shared" ref="O273:O336" si="48">IF(N273&lt;&gt;"","",M273)</f>
        <v/>
      </c>
      <c r="P273" s="158" t="str">
        <f t="shared" ref="P273:P336" si="49">IF(A273="Composição",B273,"")</f>
        <v/>
      </c>
      <c r="Q273" s="157" t="str">
        <f t="shared" ref="Q273:Q336" si="50">IF(P273&lt;&gt;"",SUMIF(L273:L373,L273,N273:N373),"")</f>
        <v/>
      </c>
      <c r="R273" s="157" t="str">
        <f t="shared" ref="R273:R336" si="51">IF(P273&lt;&gt;"",SUMIF(L273:L373,L273,O273:O373),"")</f>
        <v/>
      </c>
    </row>
    <row r="274" spans="1:18" ht="14.25" customHeight="1" x14ac:dyDescent="0.25">
      <c r="A274" s="271" t="s">
        <v>20</v>
      </c>
      <c r="B274" s="256" t="s">
        <v>99</v>
      </c>
      <c r="C274" s="271" t="s">
        <v>10</v>
      </c>
      <c r="D274" s="271" t="s">
        <v>359</v>
      </c>
      <c r="E274" s="362" t="s">
        <v>44</v>
      </c>
      <c r="F274" s="362"/>
      <c r="G274" s="255" t="s">
        <v>45</v>
      </c>
      <c r="H274" s="258">
        <v>1</v>
      </c>
      <c r="I274" s="257">
        <f>SUMIF(L:L,$L274,M:M)</f>
        <v>1.35</v>
      </c>
      <c r="J274" s="257">
        <f>TRUNC(H274*I274,2)</f>
        <v>1.35</v>
      </c>
      <c r="K274" s="172"/>
      <c r="L274" s="145">
        <f t="shared" si="45"/>
        <v>28</v>
      </c>
      <c r="M274" s="156" t="str">
        <f t="shared" si="46"/>
        <v/>
      </c>
      <c r="N274" s="157" t="str">
        <f t="shared" si="47"/>
        <v/>
      </c>
      <c r="O274" s="157" t="str">
        <f t="shared" si="48"/>
        <v/>
      </c>
      <c r="P274" s="158" t="str">
        <f t="shared" si="49"/>
        <v xml:space="preserve"> 88830 </v>
      </c>
      <c r="Q274" s="157">
        <f t="shared" si="50"/>
        <v>0</v>
      </c>
      <c r="R274" s="157">
        <f t="shared" si="51"/>
        <v>1.35</v>
      </c>
    </row>
    <row r="275" spans="1:18" ht="15" customHeight="1" x14ac:dyDescent="0.25">
      <c r="A275" s="272" t="s">
        <v>22</v>
      </c>
      <c r="B275" s="261" t="s">
        <v>106</v>
      </c>
      <c r="C275" s="272" t="s">
        <v>10</v>
      </c>
      <c r="D275" s="272" t="s">
        <v>363</v>
      </c>
      <c r="E275" s="363" t="s">
        <v>44</v>
      </c>
      <c r="F275" s="363"/>
      <c r="G275" s="260" t="s">
        <v>28</v>
      </c>
      <c r="H275" s="263">
        <v>1</v>
      </c>
      <c r="I275" s="262">
        <f>SUMIFS(J:J,A:A,"Composição",B:B,$B275)</f>
        <v>0.81</v>
      </c>
      <c r="J275" s="262">
        <f>TRUNC(H275*I275,2)</f>
        <v>0.81</v>
      </c>
      <c r="K275" s="172"/>
      <c r="L275" s="145">
        <f t="shared" si="45"/>
        <v>28</v>
      </c>
      <c r="M275" s="156">
        <f t="shared" si="46"/>
        <v>0.81</v>
      </c>
      <c r="N275" s="157" t="str">
        <f t="shared" si="47"/>
        <v/>
      </c>
      <c r="O275" s="157">
        <f t="shared" si="48"/>
        <v>0.81</v>
      </c>
      <c r="P275" s="158" t="str">
        <f t="shared" si="49"/>
        <v/>
      </c>
      <c r="Q275" s="157" t="str">
        <f t="shared" si="50"/>
        <v/>
      </c>
      <c r="R275" s="157" t="str">
        <f t="shared" si="51"/>
        <v/>
      </c>
    </row>
    <row r="276" spans="1:18" ht="25.5" customHeight="1" x14ac:dyDescent="0.25">
      <c r="A276" s="272" t="s">
        <v>22</v>
      </c>
      <c r="B276" s="261" t="s">
        <v>104</v>
      </c>
      <c r="C276" s="272" t="s">
        <v>10</v>
      </c>
      <c r="D276" s="272" t="s">
        <v>362</v>
      </c>
      <c r="E276" s="363" t="s">
        <v>44</v>
      </c>
      <c r="F276" s="363"/>
      <c r="G276" s="260" t="s">
        <v>28</v>
      </c>
      <c r="H276" s="263">
        <v>1</v>
      </c>
      <c r="I276" s="262">
        <f>SUMIFS(J:J,A:A,"Composição",B:B,$B276)</f>
        <v>0.03</v>
      </c>
      <c r="J276" s="262">
        <f>TRUNC(H276*I276,2)</f>
        <v>0.03</v>
      </c>
      <c r="K276" s="172"/>
      <c r="L276" s="145">
        <f t="shared" si="45"/>
        <v>28</v>
      </c>
      <c r="M276" s="156">
        <f t="shared" si="46"/>
        <v>0.03</v>
      </c>
      <c r="N276" s="157" t="str">
        <f t="shared" si="47"/>
        <v/>
      </c>
      <c r="O276" s="157">
        <f t="shared" si="48"/>
        <v>0.03</v>
      </c>
      <c r="P276" s="158" t="str">
        <f t="shared" si="49"/>
        <v/>
      </c>
      <c r="Q276" s="157" t="str">
        <f t="shared" si="50"/>
        <v/>
      </c>
      <c r="R276" s="157" t="str">
        <f t="shared" si="51"/>
        <v/>
      </c>
    </row>
    <row r="277" spans="1:18" ht="14.25" customHeight="1" x14ac:dyDescent="0.25">
      <c r="A277" s="272" t="s">
        <v>22</v>
      </c>
      <c r="B277" s="261" t="s">
        <v>103</v>
      </c>
      <c r="C277" s="272" t="s">
        <v>10</v>
      </c>
      <c r="D277" s="272" t="s">
        <v>361</v>
      </c>
      <c r="E277" s="363" t="s">
        <v>44</v>
      </c>
      <c r="F277" s="363"/>
      <c r="G277" s="260" t="s">
        <v>28</v>
      </c>
      <c r="H277" s="263">
        <v>1</v>
      </c>
      <c r="I277" s="262">
        <f>SUMIFS(J:J,A:A,"Composição",B:B,$B277)</f>
        <v>0.26</v>
      </c>
      <c r="J277" s="262">
        <f>TRUNC(H277*I277,2)</f>
        <v>0.26</v>
      </c>
      <c r="K277" s="172"/>
      <c r="L277" s="145">
        <f t="shared" si="45"/>
        <v>28</v>
      </c>
      <c r="M277" s="156">
        <f t="shared" si="46"/>
        <v>0.26</v>
      </c>
      <c r="N277" s="157" t="str">
        <f t="shared" si="47"/>
        <v/>
      </c>
      <c r="O277" s="157">
        <f t="shared" si="48"/>
        <v>0.26</v>
      </c>
      <c r="P277" s="158" t="str">
        <f t="shared" si="49"/>
        <v/>
      </c>
      <c r="Q277" s="157" t="str">
        <f t="shared" si="50"/>
        <v/>
      </c>
      <c r="R277" s="157" t="str">
        <f t="shared" si="51"/>
        <v/>
      </c>
    </row>
    <row r="278" spans="1:18" ht="25.5" customHeight="1" x14ac:dyDescent="0.25">
      <c r="A278" s="272" t="s">
        <v>22</v>
      </c>
      <c r="B278" s="261" t="s">
        <v>105</v>
      </c>
      <c r="C278" s="272" t="s">
        <v>10</v>
      </c>
      <c r="D278" s="272" t="s">
        <v>364</v>
      </c>
      <c r="E278" s="363" t="s">
        <v>44</v>
      </c>
      <c r="F278" s="363"/>
      <c r="G278" s="260" t="s">
        <v>28</v>
      </c>
      <c r="H278" s="263">
        <v>1</v>
      </c>
      <c r="I278" s="262">
        <f>SUMIFS(J:J,A:A,"Composição",B:B,$B278)</f>
        <v>0.25</v>
      </c>
      <c r="J278" s="262">
        <f>TRUNC(H278*I278,2)</f>
        <v>0.25</v>
      </c>
      <c r="K278" s="172"/>
      <c r="L278" s="145">
        <f t="shared" si="45"/>
        <v>28</v>
      </c>
      <c r="M278" s="156">
        <f t="shared" si="46"/>
        <v>0.25</v>
      </c>
      <c r="N278" s="157" t="str">
        <f t="shared" si="47"/>
        <v/>
      </c>
      <c r="O278" s="157">
        <f t="shared" si="48"/>
        <v>0.25</v>
      </c>
      <c r="P278" s="158" t="str">
        <f t="shared" si="49"/>
        <v/>
      </c>
      <c r="Q278" s="157" t="str">
        <f t="shared" si="50"/>
        <v/>
      </c>
      <c r="R278" s="157" t="str">
        <f t="shared" si="51"/>
        <v/>
      </c>
    </row>
    <row r="279" spans="1:18" ht="25.5" customHeight="1" x14ac:dyDescent="0.25">
      <c r="A279" s="274"/>
      <c r="B279" s="274"/>
      <c r="C279" s="274"/>
      <c r="D279" s="274"/>
      <c r="E279" s="274"/>
      <c r="F279" s="268"/>
      <c r="G279" s="274"/>
      <c r="H279" s="268"/>
      <c r="I279" s="274"/>
      <c r="J279" s="268"/>
      <c r="K279" s="172"/>
      <c r="L279" s="145">
        <f t="shared" si="45"/>
        <v>28</v>
      </c>
      <c r="M279" s="156" t="str">
        <f t="shared" si="46"/>
        <v/>
      </c>
      <c r="N279" s="157" t="str">
        <f t="shared" si="47"/>
        <v/>
      </c>
      <c r="O279" s="157" t="str">
        <f t="shared" si="48"/>
        <v/>
      </c>
      <c r="P279" s="158" t="str">
        <f t="shared" si="49"/>
        <v/>
      </c>
      <c r="Q279" s="157" t="str">
        <f t="shared" si="50"/>
        <v/>
      </c>
      <c r="R279" s="157" t="str">
        <f t="shared" si="51"/>
        <v/>
      </c>
    </row>
    <row r="280" spans="1:18" ht="25.5" customHeight="1" thickBot="1" x14ac:dyDescent="0.3">
      <c r="A280" s="274"/>
      <c r="B280" s="274"/>
      <c r="C280" s="274"/>
      <c r="D280" s="274"/>
      <c r="E280" s="274"/>
      <c r="F280" s="268"/>
      <c r="G280" s="274"/>
      <c r="H280" s="350"/>
      <c r="I280" s="350"/>
      <c r="J280" s="268"/>
      <c r="K280" s="172"/>
      <c r="L280" s="145">
        <f t="shared" si="45"/>
        <v>28</v>
      </c>
      <c r="M280" s="156" t="str">
        <f t="shared" si="46"/>
        <v/>
      </c>
      <c r="N280" s="157" t="str">
        <f t="shared" si="47"/>
        <v/>
      </c>
      <c r="O280" s="157" t="str">
        <f t="shared" si="48"/>
        <v/>
      </c>
      <c r="P280" s="158" t="str">
        <f t="shared" si="49"/>
        <v/>
      </c>
      <c r="Q280" s="157" t="str">
        <f t="shared" si="50"/>
        <v/>
      </c>
      <c r="R280" s="157" t="str">
        <f t="shared" si="51"/>
        <v/>
      </c>
    </row>
    <row r="281" spans="1:18" ht="14.4" thickTop="1" x14ac:dyDescent="0.25">
      <c r="A281" s="259"/>
      <c r="B281" s="259"/>
      <c r="C281" s="259"/>
      <c r="D281" s="259"/>
      <c r="E281" s="259"/>
      <c r="F281" s="259"/>
      <c r="G281" s="259"/>
      <c r="H281" s="259"/>
      <c r="I281" s="259"/>
      <c r="J281" s="259"/>
      <c r="K281" s="172"/>
      <c r="L281" s="145">
        <f t="shared" si="45"/>
        <v>28</v>
      </c>
      <c r="M281" s="156" t="str">
        <f t="shared" si="46"/>
        <v/>
      </c>
      <c r="N281" s="157" t="str">
        <f t="shared" si="47"/>
        <v/>
      </c>
      <c r="O281" s="157" t="str">
        <f t="shared" si="48"/>
        <v/>
      </c>
      <c r="P281" s="158" t="str">
        <f t="shared" si="49"/>
        <v/>
      </c>
      <c r="Q281" s="157" t="str">
        <f t="shared" si="50"/>
        <v/>
      </c>
      <c r="R281" s="157" t="str">
        <f t="shared" si="51"/>
        <v/>
      </c>
    </row>
    <row r="282" spans="1:18" x14ac:dyDescent="0.25">
      <c r="A282" s="270"/>
      <c r="B282" s="254" t="s">
        <v>1</v>
      </c>
      <c r="C282" s="270" t="s">
        <v>2</v>
      </c>
      <c r="D282" s="270" t="s">
        <v>3</v>
      </c>
      <c r="E282" s="347" t="s">
        <v>19</v>
      </c>
      <c r="F282" s="347"/>
      <c r="G282" s="253" t="s">
        <v>4</v>
      </c>
      <c r="H282" s="254" t="s">
        <v>5</v>
      </c>
      <c r="I282" s="254" t="s">
        <v>6</v>
      </c>
      <c r="J282" s="254" t="s">
        <v>7</v>
      </c>
      <c r="K282" s="172"/>
      <c r="L282" s="145">
        <f t="shared" si="45"/>
        <v>29</v>
      </c>
      <c r="M282" s="156" t="str">
        <f t="shared" si="46"/>
        <v/>
      </c>
      <c r="N282" s="157" t="str">
        <f t="shared" si="47"/>
        <v/>
      </c>
      <c r="O282" s="157" t="str">
        <f t="shared" si="48"/>
        <v/>
      </c>
      <c r="P282" s="158" t="str">
        <f t="shared" si="49"/>
        <v/>
      </c>
      <c r="Q282" s="157" t="str">
        <f t="shared" si="50"/>
        <v/>
      </c>
      <c r="R282" s="157" t="str">
        <f t="shared" si="51"/>
        <v/>
      </c>
    </row>
    <row r="283" spans="1:18" ht="14.25" customHeight="1" x14ac:dyDescent="0.25">
      <c r="A283" s="271" t="s">
        <v>20</v>
      </c>
      <c r="B283" s="256" t="s">
        <v>103</v>
      </c>
      <c r="C283" s="271" t="s">
        <v>10</v>
      </c>
      <c r="D283" s="271" t="s">
        <v>361</v>
      </c>
      <c r="E283" s="362" t="s">
        <v>44</v>
      </c>
      <c r="F283" s="362"/>
      <c r="G283" s="255" t="s">
        <v>28</v>
      </c>
      <c r="H283" s="258">
        <v>1</v>
      </c>
      <c r="I283" s="257">
        <f>SUMIF(L:L,$L283,M:M)</f>
        <v>0.26</v>
      </c>
      <c r="J283" s="257">
        <f>TRUNC(H283*I283,2)</f>
        <v>0.26</v>
      </c>
      <c r="K283" s="172"/>
      <c r="L283" s="145">
        <f t="shared" si="45"/>
        <v>29</v>
      </c>
      <c r="M283" s="156" t="str">
        <f t="shared" si="46"/>
        <v/>
      </c>
      <c r="N283" s="157" t="str">
        <f t="shared" si="47"/>
        <v/>
      </c>
      <c r="O283" s="157" t="str">
        <f t="shared" si="48"/>
        <v/>
      </c>
      <c r="P283" s="158" t="str">
        <f t="shared" si="49"/>
        <v xml:space="preserve"> 88826 </v>
      </c>
      <c r="Q283" s="157">
        <f t="shared" si="50"/>
        <v>0</v>
      </c>
      <c r="R283" s="157">
        <f t="shared" si="51"/>
        <v>0.26</v>
      </c>
    </row>
    <row r="284" spans="1:18" ht="15" customHeight="1" x14ac:dyDescent="0.25">
      <c r="A284" s="273" t="s">
        <v>31</v>
      </c>
      <c r="B284" s="265" t="s">
        <v>107</v>
      </c>
      <c r="C284" s="273" t="str">
        <f>VLOOKUP(B284,INSUMOS!$A:$I,2,FALSE)</f>
        <v>SINAPI</v>
      </c>
      <c r="D284" s="273" t="str">
        <f>VLOOKUP(B284,INSUMOS!$A:$I,3,FALSE)</f>
        <v>BETONEIRA CAPACIDADE NOMINAL 400 L, CAPACIDADE DE MISTURA  280 L, MOTOR ELETRICO TRIFASICO 220/380 V POTENCIA 2 CV, SEM CARREGADOR</v>
      </c>
      <c r="E284" s="361" t="str">
        <f>VLOOKUP(B284,INSUMOS!$A:$I,4,FALSE)</f>
        <v>Equipamento</v>
      </c>
      <c r="F284" s="361"/>
      <c r="G284" s="264" t="str">
        <f>VLOOKUP(B284,INSUMOS!$A:$I,5,FALSE)</f>
        <v>UN</v>
      </c>
      <c r="H284" s="267">
        <v>6.3999999999999997E-5</v>
      </c>
      <c r="I284" s="266">
        <f>VLOOKUP(B284,INSUMOS!$A:$I,8,FALSE)</f>
        <v>4200</v>
      </c>
      <c r="J284" s="266">
        <f>TRUNC(H284*I284,2)</f>
        <v>0.26</v>
      </c>
      <c r="K284" s="172"/>
      <c r="L284" s="145">
        <f t="shared" si="45"/>
        <v>29</v>
      </c>
      <c r="M284" s="156">
        <f t="shared" si="46"/>
        <v>0.26</v>
      </c>
      <c r="N284" s="157" t="str">
        <f t="shared" si="47"/>
        <v/>
      </c>
      <c r="O284" s="157">
        <f t="shared" si="48"/>
        <v>0.26</v>
      </c>
      <c r="P284" s="158" t="str">
        <f t="shared" si="49"/>
        <v/>
      </c>
      <c r="Q284" s="157" t="str">
        <f t="shared" si="50"/>
        <v/>
      </c>
      <c r="R284" s="157" t="str">
        <f t="shared" si="51"/>
        <v/>
      </c>
    </row>
    <row r="285" spans="1:18" ht="25.5" customHeight="1" x14ac:dyDescent="0.25">
      <c r="A285" s="274"/>
      <c r="B285" s="274"/>
      <c r="C285" s="274"/>
      <c r="D285" s="274"/>
      <c r="E285" s="274"/>
      <c r="F285" s="268"/>
      <c r="G285" s="274"/>
      <c r="H285" s="268"/>
      <c r="I285" s="274"/>
      <c r="J285" s="268"/>
      <c r="K285" s="172"/>
      <c r="L285" s="145">
        <f t="shared" si="45"/>
        <v>29</v>
      </c>
      <c r="M285" s="156" t="str">
        <f t="shared" si="46"/>
        <v/>
      </c>
      <c r="N285" s="157" t="str">
        <f t="shared" si="47"/>
        <v/>
      </c>
      <c r="O285" s="157" t="str">
        <f t="shared" si="48"/>
        <v/>
      </c>
      <c r="P285" s="158" t="str">
        <f t="shared" si="49"/>
        <v/>
      </c>
      <c r="Q285" s="157" t="str">
        <f t="shared" si="50"/>
        <v/>
      </c>
      <c r="R285" s="157" t="str">
        <f t="shared" si="51"/>
        <v/>
      </c>
    </row>
    <row r="286" spans="1:18" ht="14.4" thickBot="1" x14ac:dyDescent="0.3">
      <c r="A286" s="274"/>
      <c r="B286" s="274"/>
      <c r="C286" s="274"/>
      <c r="D286" s="274"/>
      <c r="E286" s="274"/>
      <c r="F286" s="268"/>
      <c r="G286" s="274"/>
      <c r="H286" s="350"/>
      <c r="I286" s="350"/>
      <c r="J286" s="268"/>
      <c r="K286" s="172"/>
      <c r="L286" s="145">
        <f t="shared" si="45"/>
        <v>29</v>
      </c>
      <c r="M286" s="156" t="str">
        <f t="shared" si="46"/>
        <v/>
      </c>
      <c r="N286" s="157" t="str">
        <f t="shared" si="47"/>
        <v/>
      </c>
      <c r="O286" s="157" t="str">
        <f t="shared" si="48"/>
        <v/>
      </c>
      <c r="P286" s="158" t="str">
        <f t="shared" si="49"/>
        <v/>
      </c>
      <c r="Q286" s="157" t="str">
        <f t="shared" si="50"/>
        <v/>
      </c>
      <c r="R286" s="157" t="str">
        <f t="shared" si="51"/>
        <v/>
      </c>
    </row>
    <row r="287" spans="1:18" ht="25.5" customHeight="1" thickTop="1" x14ac:dyDescent="0.25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172"/>
      <c r="L287" s="145">
        <f t="shared" si="45"/>
        <v>29</v>
      </c>
      <c r="M287" s="156" t="str">
        <f t="shared" si="46"/>
        <v/>
      </c>
      <c r="N287" s="157" t="str">
        <f t="shared" si="47"/>
        <v/>
      </c>
      <c r="O287" s="157" t="str">
        <f t="shared" si="48"/>
        <v/>
      </c>
      <c r="P287" s="158" t="str">
        <f t="shared" si="49"/>
        <v/>
      </c>
      <c r="Q287" s="157" t="str">
        <f t="shared" si="50"/>
        <v/>
      </c>
      <c r="R287" s="157" t="str">
        <f t="shared" si="51"/>
        <v/>
      </c>
    </row>
    <row r="288" spans="1:18" ht="25.5" customHeight="1" x14ac:dyDescent="0.25">
      <c r="A288" s="270"/>
      <c r="B288" s="254" t="s">
        <v>1</v>
      </c>
      <c r="C288" s="270" t="s">
        <v>2</v>
      </c>
      <c r="D288" s="270" t="s">
        <v>3</v>
      </c>
      <c r="E288" s="347" t="s">
        <v>19</v>
      </c>
      <c r="F288" s="347"/>
      <c r="G288" s="253" t="s">
        <v>4</v>
      </c>
      <c r="H288" s="254" t="s">
        <v>5</v>
      </c>
      <c r="I288" s="254" t="s">
        <v>6</v>
      </c>
      <c r="J288" s="254" t="s">
        <v>7</v>
      </c>
      <c r="K288" s="172"/>
      <c r="L288" s="145">
        <f t="shared" si="45"/>
        <v>30</v>
      </c>
      <c r="M288" s="156" t="str">
        <f t="shared" si="46"/>
        <v/>
      </c>
      <c r="N288" s="157" t="str">
        <f t="shared" si="47"/>
        <v/>
      </c>
      <c r="O288" s="157" t="str">
        <f t="shared" si="48"/>
        <v/>
      </c>
      <c r="P288" s="158" t="str">
        <f t="shared" si="49"/>
        <v/>
      </c>
      <c r="Q288" s="157" t="str">
        <f t="shared" si="50"/>
        <v/>
      </c>
      <c r="R288" s="157" t="str">
        <f t="shared" si="51"/>
        <v/>
      </c>
    </row>
    <row r="289" spans="1:18" ht="25.5" customHeight="1" x14ac:dyDescent="0.25">
      <c r="A289" s="271" t="s">
        <v>20</v>
      </c>
      <c r="B289" s="256" t="s">
        <v>104</v>
      </c>
      <c r="C289" s="271" t="s">
        <v>10</v>
      </c>
      <c r="D289" s="271" t="s">
        <v>362</v>
      </c>
      <c r="E289" s="362" t="s">
        <v>44</v>
      </c>
      <c r="F289" s="362"/>
      <c r="G289" s="255" t="s">
        <v>28</v>
      </c>
      <c r="H289" s="258">
        <v>1</v>
      </c>
      <c r="I289" s="257">
        <f>SUMIF(L:L,$L289,M:M)</f>
        <v>0.03</v>
      </c>
      <c r="J289" s="257">
        <f>TRUNC(H289*I289,2)</f>
        <v>0.03</v>
      </c>
      <c r="K289" s="172"/>
      <c r="L289" s="145">
        <f t="shared" si="45"/>
        <v>30</v>
      </c>
      <c r="M289" s="156" t="str">
        <f t="shared" si="46"/>
        <v/>
      </c>
      <c r="N289" s="157" t="str">
        <f t="shared" si="47"/>
        <v/>
      </c>
      <c r="O289" s="157" t="str">
        <f t="shared" si="48"/>
        <v/>
      </c>
      <c r="P289" s="158" t="str">
        <f t="shared" si="49"/>
        <v xml:space="preserve"> 88827 </v>
      </c>
      <c r="Q289" s="157">
        <f t="shared" si="50"/>
        <v>0</v>
      </c>
      <c r="R289" s="157">
        <f t="shared" si="51"/>
        <v>0.03</v>
      </c>
    </row>
    <row r="290" spans="1:18" ht="39.6" x14ac:dyDescent="0.25">
      <c r="A290" s="273" t="s">
        <v>31</v>
      </c>
      <c r="B290" s="265" t="s">
        <v>107</v>
      </c>
      <c r="C290" s="273" t="str">
        <f>VLOOKUP(B290,INSUMOS!$A:$I,2,FALSE)</f>
        <v>SINAPI</v>
      </c>
      <c r="D290" s="273" t="str">
        <f>VLOOKUP(B290,INSUMOS!$A:$I,3,FALSE)</f>
        <v>BETONEIRA CAPACIDADE NOMINAL 400 L, CAPACIDADE DE MISTURA  280 L, MOTOR ELETRICO TRIFASICO 220/380 V POTENCIA 2 CV, SEM CARREGADOR</v>
      </c>
      <c r="E290" s="361" t="str">
        <f>VLOOKUP(B290,INSUMOS!$A:$I,4,FALSE)</f>
        <v>Equipamento</v>
      </c>
      <c r="F290" s="361"/>
      <c r="G290" s="264" t="str">
        <f>VLOOKUP(B290,INSUMOS!$A:$I,5,FALSE)</f>
        <v>UN</v>
      </c>
      <c r="H290" s="267">
        <v>7.6000000000000001E-6</v>
      </c>
      <c r="I290" s="266">
        <f>VLOOKUP(B290,INSUMOS!$A:$I,8,FALSE)</f>
        <v>4200</v>
      </c>
      <c r="J290" s="266">
        <f>TRUNC(H290*I290,2)</f>
        <v>0.03</v>
      </c>
      <c r="K290" s="172"/>
      <c r="L290" s="145">
        <f t="shared" si="45"/>
        <v>30</v>
      </c>
      <c r="M290" s="156">
        <f t="shared" si="46"/>
        <v>0.03</v>
      </c>
      <c r="N290" s="157" t="str">
        <f t="shared" si="47"/>
        <v/>
      </c>
      <c r="O290" s="157">
        <f t="shared" si="48"/>
        <v>0.03</v>
      </c>
      <c r="P290" s="158" t="str">
        <f t="shared" si="49"/>
        <v/>
      </c>
      <c r="Q290" s="157" t="str">
        <f t="shared" si="50"/>
        <v/>
      </c>
      <c r="R290" s="157" t="str">
        <f t="shared" si="51"/>
        <v/>
      </c>
    </row>
    <row r="291" spans="1:18" ht="14.25" customHeight="1" x14ac:dyDescent="0.25">
      <c r="A291" s="274"/>
      <c r="B291" s="274"/>
      <c r="C291" s="274"/>
      <c r="D291" s="274"/>
      <c r="E291" s="274"/>
      <c r="F291" s="268"/>
      <c r="G291" s="274"/>
      <c r="H291" s="268"/>
      <c r="I291" s="274"/>
      <c r="J291" s="268"/>
      <c r="K291" s="172"/>
      <c r="L291" s="145">
        <f t="shared" si="45"/>
        <v>30</v>
      </c>
      <c r="M291" s="156" t="str">
        <f t="shared" si="46"/>
        <v/>
      </c>
      <c r="N291" s="157" t="str">
        <f t="shared" si="47"/>
        <v/>
      </c>
      <c r="O291" s="157" t="str">
        <f t="shared" si="48"/>
        <v/>
      </c>
      <c r="P291" s="158" t="str">
        <f t="shared" si="49"/>
        <v/>
      </c>
      <c r="Q291" s="157" t="str">
        <f t="shared" si="50"/>
        <v/>
      </c>
      <c r="R291" s="157" t="str">
        <f t="shared" si="51"/>
        <v/>
      </c>
    </row>
    <row r="292" spans="1:18" ht="14.25" customHeight="1" thickBot="1" x14ac:dyDescent="0.3">
      <c r="A292" s="274"/>
      <c r="B292" s="274"/>
      <c r="C292" s="274"/>
      <c r="D292" s="274"/>
      <c r="E292" s="274"/>
      <c r="F292" s="268"/>
      <c r="G292" s="274"/>
      <c r="H292" s="350"/>
      <c r="I292" s="350"/>
      <c r="J292" s="268"/>
      <c r="K292" s="172"/>
      <c r="L292" s="145">
        <f t="shared" si="45"/>
        <v>30</v>
      </c>
      <c r="M292" s="156" t="str">
        <f t="shared" si="46"/>
        <v/>
      </c>
      <c r="N292" s="157" t="str">
        <f t="shared" si="47"/>
        <v/>
      </c>
      <c r="O292" s="157" t="str">
        <f t="shared" si="48"/>
        <v/>
      </c>
      <c r="P292" s="158" t="str">
        <f t="shared" si="49"/>
        <v/>
      </c>
      <c r="Q292" s="157" t="str">
        <f t="shared" si="50"/>
        <v/>
      </c>
      <c r="R292" s="157" t="str">
        <f t="shared" si="51"/>
        <v/>
      </c>
    </row>
    <row r="293" spans="1:18" ht="15" customHeight="1" thickTop="1" x14ac:dyDescent="0.25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172"/>
      <c r="L293" s="145">
        <f t="shared" si="45"/>
        <v>30</v>
      </c>
      <c r="M293" s="156" t="str">
        <f t="shared" si="46"/>
        <v/>
      </c>
      <c r="N293" s="157" t="str">
        <f t="shared" si="47"/>
        <v/>
      </c>
      <c r="O293" s="157" t="str">
        <f t="shared" si="48"/>
        <v/>
      </c>
      <c r="P293" s="158" t="str">
        <f t="shared" si="49"/>
        <v/>
      </c>
      <c r="Q293" s="157" t="str">
        <f t="shared" si="50"/>
        <v/>
      </c>
      <c r="R293" s="157" t="str">
        <f t="shared" si="51"/>
        <v/>
      </c>
    </row>
    <row r="294" spans="1:18" x14ac:dyDescent="0.25">
      <c r="A294" s="270"/>
      <c r="B294" s="254" t="s">
        <v>1</v>
      </c>
      <c r="C294" s="270" t="s">
        <v>2</v>
      </c>
      <c r="D294" s="270" t="s">
        <v>3</v>
      </c>
      <c r="E294" s="347" t="s">
        <v>19</v>
      </c>
      <c r="F294" s="347"/>
      <c r="G294" s="253" t="s">
        <v>4</v>
      </c>
      <c r="H294" s="254" t="s">
        <v>5</v>
      </c>
      <c r="I294" s="254" t="s">
        <v>6</v>
      </c>
      <c r="J294" s="254" t="s">
        <v>7</v>
      </c>
      <c r="K294" s="172"/>
      <c r="L294" s="145">
        <f t="shared" si="45"/>
        <v>31</v>
      </c>
      <c r="M294" s="156" t="str">
        <f t="shared" si="46"/>
        <v/>
      </c>
      <c r="N294" s="157" t="str">
        <f t="shared" si="47"/>
        <v/>
      </c>
      <c r="O294" s="157" t="str">
        <f t="shared" si="48"/>
        <v/>
      </c>
      <c r="P294" s="158" t="str">
        <f t="shared" si="49"/>
        <v/>
      </c>
      <c r="Q294" s="157" t="str">
        <f t="shared" si="50"/>
        <v/>
      </c>
      <c r="R294" s="157" t="str">
        <f t="shared" si="51"/>
        <v/>
      </c>
    </row>
    <row r="295" spans="1:18" ht="38.25" customHeight="1" x14ac:dyDescent="0.25">
      <c r="A295" s="271" t="s">
        <v>20</v>
      </c>
      <c r="B295" s="256" t="s">
        <v>105</v>
      </c>
      <c r="C295" s="271" t="s">
        <v>10</v>
      </c>
      <c r="D295" s="271" t="s">
        <v>364</v>
      </c>
      <c r="E295" s="362" t="s">
        <v>44</v>
      </c>
      <c r="F295" s="362"/>
      <c r="G295" s="255" t="s">
        <v>28</v>
      </c>
      <c r="H295" s="258">
        <v>1</v>
      </c>
      <c r="I295" s="257">
        <f>SUMIF(L:L,$L295,M:M)</f>
        <v>0.25</v>
      </c>
      <c r="J295" s="257">
        <f>TRUNC(H295*I295,2)</f>
        <v>0.25</v>
      </c>
      <c r="K295" s="172"/>
      <c r="L295" s="145">
        <f t="shared" si="45"/>
        <v>31</v>
      </c>
      <c r="M295" s="156" t="str">
        <f t="shared" si="46"/>
        <v/>
      </c>
      <c r="N295" s="157" t="str">
        <f t="shared" si="47"/>
        <v/>
      </c>
      <c r="O295" s="157" t="str">
        <f t="shared" si="48"/>
        <v/>
      </c>
      <c r="P295" s="158" t="str">
        <f t="shared" si="49"/>
        <v xml:space="preserve"> 88828 </v>
      </c>
      <c r="Q295" s="157">
        <f t="shared" si="50"/>
        <v>0</v>
      </c>
      <c r="R295" s="157">
        <f t="shared" si="51"/>
        <v>0.25</v>
      </c>
    </row>
    <row r="296" spans="1:18" ht="25.5" customHeight="1" x14ac:dyDescent="0.25">
      <c r="A296" s="273" t="s">
        <v>31</v>
      </c>
      <c r="B296" s="265" t="s">
        <v>107</v>
      </c>
      <c r="C296" s="273" t="str">
        <f>VLOOKUP(B296,INSUMOS!$A:$I,2,FALSE)</f>
        <v>SINAPI</v>
      </c>
      <c r="D296" s="273" t="str">
        <f>VLOOKUP(B296,INSUMOS!$A:$I,3,FALSE)</f>
        <v>BETONEIRA CAPACIDADE NOMINAL 400 L, CAPACIDADE DE MISTURA  280 L, MOTOR ELETRICO TRIFASICO 220/380 V POTENCIA 2 CV, SEM CARREGADOR</v>
      </c>
      <c r="E296" s="361" t="str">
        <f>VLOOKUP(B296,INSUMOS!$A:$I,4,FALSE)</f>
        <v>Equipamento</v>
      </c>
      <c r="F296" s="361"/>
      <c r="G296" s="264" t="str">
        <f>VLOOKUP(B296,INSUMOS!$A:$I,5,FALSE)</f>
        <v>UN</v>
      </c>
      <c r="H296" s="267">
        <v>6.0000000000000002E-5</v>
      </c>
      <c r="I296" s="266">
        <f>VLOOKUP(B296,INSUMOS!$A:$I,8,FALSE)</f>
        <v>4200</v>
      </c>
      <c r="J296" s="266">
        <f>TRUNC(H296*I296,2)</f>
        <v>0.25</v>
      </c>
      <c r="K296" s="172"/>
      <c r="L296" s="145">
        <f t="shared" si="45"/>
        <v>31</v>
      </c>
      <c r="M296" s="156">
        <f t="shared" si="46"/>
        <v>0.25</v>
      </c>
      <c r="N296" s="157" t="str">
        <f t="shared" si="47"/>
        <v/>
      </c>
      <c r="O296" s="157">
        <f t="shared" si="48"/>
        <v>0.25</v>
      </c>
      <c r="P296" s="158" t="str">
        <f t="shared" si="49"/>
        <v/>
      </c>
      <c r="Q296" s="157" t="str">
        <f t="shared" si="50"/>
        <v/>
      </c>
      <c r="R296" s="157" t="str">
        <f t="shared" si="51"/>
        <v/>
      </c>
    </row>
    <row r="297" spans="1:18" ht="25.5" customHeight="1" x14ac:dyDescent="0.25">
      <c r="A297" s="274"/>
      <c r="B297" s="274"/>
      <c r="C297" s="274"/>
      <c r="D297" s="274"/>
      <c r="E297" s="274"/>
      <c r="F297" s="268"/>
      <c r="G297" s="274"/>
      <c r="H297" s="268"/>
      <c r="I297" s="274"/>
      <c r="J297" s="268"/>
      <c r="K297" s="172"/>
      <c r="L297" s="145">
        <f t="shared" si="45"/>
        <v>31</v>
      </c>
      <c r="M297" s="156" t="str">
        <f t="shared" si="46"/>
        <v/>
      </c>
      <c r="N297" s="157" t="str">
        <f t="shared" si="47"/>
        <v/>
      </c>
      <c r="O297" s="157" t="str">
        <f t="shared" si="48"/>
        <v/>
      </c>
      <c r="P297" s="158" t="str">
        <f t="shared" si="49"/>
        <v/>
      </c>
      <c r="Q297" s="157" t="str">
        <f t="shared" si="50"/>
        <v/>
      </c>
      <c r="R297" s="157" t="str">
        <f t="shared" si="51"/>
        <v/>
      </c>
    </row>
    <row r="298" spans="1:18" ht="25.5" customHeight="1" thickBot="1" x14ac:dyDescent="0.3">
      <c r="A298" s="274"/>
      <c r="B298" s="274"/>
      <c r="C298" s="274"/>
      <c r="D298" s="274"/>
      <c r="E298" s="274"/>
      <c r="F298" s="268"/>
      <c r="G298" s="274"/>
      <c r="H298" s="350"/>
      <c r="I298" s="350"/>
      <c r="J298" s="268"/>
      <c r="K298" s="172"/>
      <c r="L298" s="145">
        <f t="shared" si="45"/>
        <v>31</v>
      </c>
      <c r="M298" s="156" t="str">
        <f t="shared" si="46"/>
        <v/>
      </c>
      <c r="N298" s="157" t="str">
        <f t="shared" si="47"/>
        <v/>
      </c>
      <c r="O298" s="157" t="str">
        <f t="shared" si="48"/>
        <v/>
      </c>
      <c r="P298" s="158" t="str">
        <f t="shared" si="49"/>
        <v/>
      </c>
      <c r="Q298" s="157" t="str">
        <f t="shared" si="50"/>
        <v/>
      </c>
      <c r="R298" s="157" t="str">
        <f t="shared" si="51"/>
        <v/>
      </c>
    </row>
    <row r="299" spans="1:18" ht="26.4" customHeight="1" thickTop="1" x14ac:dyDescent="0.25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172"/>
      <c r="L299" s="145">
        <f t="shared" si="45"/>
        <v>31</v>
      </c>
      <c r="M299" s="156" t="str">
        <f t="shared" si="46"/>
        <v/>
      </c>
      <c r="N299" s="157" t="str">
        <f t="shared" si="47"/>
        <v/>
      </c>
      <c r="O299" s="157" t="str">
        <f t="shared" si="48"/>
        <v/>
      </c>
      <c r="P299" s="158" t="str">
        <f t="shared" si="49"/>
        <v/>
      </c>
      <c r="Q299" s="157" t="str">
        <f t="shared" si="50"/>
        <v/>
      </c>
      <c r="R299" s="157" t="str">
        <f t="shared" si="51"/>
        <v/>
      </c>
    </row>
    <row r="300" spans="1:18" ht="14.25" customHeight="1" x14ac:dyDescent="0.25">
      <c r="A300" s="270"/>
      <c r="B300" s="254" t="s">
        <v>1</v>
      </c>
      <c r="C300" s="270" t="s">
        <v>2</v>
      </c>
      <c r="D300" s="270" t="s">
        <v>3</v>
      </c>
      <c r="E300" s="347" t="s">
        <v>19</v>
      </c>
      <c r="F300" s="347"/>
      <c r="G300" s="253" t="s">
        <v>4</v>
      </c>
      <c r="H300" s="254" t="s">
        <v>5</v>
      </c>
      <c r="I300" s="254" t="s">
        <v>6</v>
      </c>
      <c r="J300" s="254" t="s">
        <v>7</v>
      </c>
      <c r="K300" s="172"/>
      <c r="L300" s="145">
        <f t="shared" si="45"/>
        <v>32</v>
      </c>
      <c r="M300" s="156" t="str">
        <f t="shared" si="46"/>
        <v/>
      </c>
      <c r="N300" s="157" t="str">
        <f t="shared" si="47"/>
        <v/>
      </c>
      <c r="O300" s="157" t="str">
        <f t="shared" si="48"/>
        <v/>
      </c>
      <c r="P300" s="158" t="str">
        <f t="shared" si="49"/>
        <v/>
      </c>
      <c r="Q300" s="157" t="str">
        <f t="shared" si="50"/>
        <v/>
      </c>
      <c r="R300" s="157" t="str">
        <f t="shared" si="51"/>
        <v/>
      </c>
    </row>
    <row r="301" spans="1:18" ht="39.6" x14ac:dyDescent="0.25">
      <c r="A301" s="271" t="s">
        <v>20</v>
      </c>
      <c r="B301" s="256" t="s">
        <v>106</v>
      </c>
      <c r="C301" s="271" t="s">
        <v>10</v>
      </c>
      <c r="D301" s="271" t="s">
        <v>363</v>
      </c>
      <c r="E301" s="362" t="s">
        <v>44</v>
      </c>
      <c r="F301" s="362"/>
      <c r="G301" s="255" t="s">
        <v>28</v>
      </c>
      <c r="H301" s="258">
        <v>1</v>
      </c>
      <c r="I301" s="257">
        <f>SUMIF(L:L,$L301,M:M)</f>
        <v>0.81</v>
      </c>
      <c r="J301" s="257">
        <f>TRUNC(H301*I301,2)</f>
        <v>0.81</v>
      </c>
      <c r="K301" s="172"/>
      <c r="L301" s="145">
        <f t="shared" si="45"/>
        <v>32</v>
      </c>
      <c r="M301" s="156" t="str">
        <f t="shared" si="46"/>
        <v/>
      </c>
      <c r="N301" s="157" t="str">
        <f t="shared" si="47"/>
        <v/>
      </c>
      <c r="O301" s="157" t="str">
        <f t="shared" si="48"/>
        <v/>
      </c>
      <c r="P301" s="158" t="str">
        <f t="shared" si="49"/>
        <v xml:space="preserve"> 88829 </v>
      </c>
      <c r="Q301" s="157">
        <f t="shared" si="50"/>
        <v>0</v>
      </c>
      <c r="R301" s="157">
        <f t="shared" si="51"/>
        <v>0.81</v>
      </c>
    </row>
    <row r="302" spans="1:18" ht="15" customHeight="1" x14ac:dyDescent="0.25">
      <c r="A302" s="273" t="s">
        <v>31</v>
      </c>
      <c r="B302" s="265" t="s">
        <v>108</v>
      </c>
      <c r="C302" s="273" t="str">
        <f>VLOOKUP(B302,INSUMOS!$A:$I,2,FALSE)</f>
        <v>SINAPI</v>
      </c>
      <c r="D302" s="273" t="str">
        <f>VLOOKUP(B302,INSUMOS!$A:$I,3,FALSE)</f>
        <v>ENERGIA ELETRICA ATE 2000 KWH INDUSTRIAL, SEM DEMANDA</v>
      </c>
      <c r="E302" s="361" t="str">
        <f>VLOOKUP(B302,INSUMOS!$A:$I,4,FALSE)</f>
        <v>Material</v>
      </c>
      <c r="F302" s="361"/>
      <c r="G302" s="264" t="str">
        <f>VLOOKUP(B302,INSUMOS!$A:$I,5,FALSE)</f>
        <v>KW/H</v>
      </c>
      <c r="H302" s="267">
        <v>1.25</v>
      </c>
      <c r="I302" s="266">
        <f>VLOOKUP(B302,INSUMOS!$A:$I,8,FALSE)</f>
        <v>0.65</v>
      </c>
      <c r="J302" s="266">
        <f>TRUNC(H302*I302,2)</f>
        <v>0.81</v>
      </c>
      <c r="K302" s="172"/>
      <c r="L302" s="145">
        <f t="shared" si="45"/>
        <v>32</v>
      </c>
      <c r="M302" s="156">
        <f t="shared" si="46"/>
        <v>0.81</v>
      </c>
      <c r="N302" s="157" t="str">
        <f t="shared" si="47"/>
        <v/>
      </c>
      <c r="O302" s="157">
        <f t="shared" si="48"/>
        <v>0.81</v>
      </c>
      <c r="P302" s="158" t="str">
        <f t="shared" si="49"/>
        <v/>
      </c>
      <c r="Q302" s="157" t="str">
        <f t="shared" si="50"/>
        <v/>
      </c>
      <c r="R302" s="157" t="str">
        <f t="shared" si="51"/>
        <v/>
      </c>
    </row>
    <row r="303" spans="1:18" x14ac:dyDescent="0.25">
      <c r="A303" s="274"/>
      <c r="B303" s="274"/>
      <c r="C303" s="274"/>
      <c r="D303" s="274"/>
      <c r="E303" s="274"/>
      <c r="F303" s="268"/>
      <c r="G303" s="274"/>
      <c r="H303" s="268"/>
      <c r="I303" s="274"/>
      <c r="J303" s="268"/>
      <c r="K303" s="172"/>
      <c r="L303" s="145">
        <f t="shared" si="45"/>
        <v>32</v>
      </c>
      <c r="M303" s="156" t="str">
        <f t="shared" si="46"/>
        <v/>
      </c>
      <c r="N303" s="157" t="str">
        <f t="shared" si="47"/>
        <v/>
      </c>
      <c r="O303" s="157" t="str">
        <f t="shared" si="48"/>
        <v/>
      </c>
      <c r="P303" s="158" t="str">
        <f t="shared" si="49"/>
        <v/>
      </c>
      <c r="Q303" s="157" t="str">
        <f t="shared" si="50"/>
        <v/>
      </c>
      <c r="R303" s="157" t="str">
        <f t="shared" si="51"/>
        <v/>
      </c>
    </row>
    <row r="304" spans="1:18" ht="14.4" thickBot="1" x14ac:dyDescent="0.3">
      <c r="A304" s="274"/>
      <c r="B304" s="274"/>
      <c r="C304" s="274"/>
      <c r="D304" s="274"/>
      <c r="E304" s="274"/>
      <c r="F304" s="268"/>
      <c r="G304" s="274"/>
      <c r="H304" s="350"/>
      <c r="I304" s="350"/>
      <c r="J304" s="268"/>
      <c r="K304" s="172"/>
      <c r="L304" s="145">
        <f t="shared" si="45"/>
        <v>32</v>
      </c>
      <c r="M304" s="156" t="str">
        <f t="shared" si="46"/>
        <v/>
      </c>
      <c r="N304" s="157" t="str">
        <f t="shared" si="47"/>
        <v/>
      </c>
      <c r="O304" s="157" t="str">
        <f t="shared" si="48"/>
        <v/>
      </c>
      <c r="P304" s="158" t="str">
        <f t="shared" si="49"/>
        <v/>
      </c>
      <c r="Q304" s="157" t="str">
        <f t="shared" si="50"/>
        <v/>
      </c>
      <c r="R304" s="157" t="str">
        <f t="shared" si="51"/>
        <v/>
      </c>
    </row>
    <row r="305" spans="1:18" ht="38.25" customHeight="1" thickTop="1" x14ac:dyDescent="0.25">
      <c r="A305" s="259"/>
      <c r="B305" s="259"/>
      <c r="C305" s="259"/>
      <c r="D305" s="259"/>
      <c r="E305" s="259"/>
      <c r="F305" s="259"/>
      <c r="G305" s="259"/>
      <c r="H305" s="259"/>
      <c r="I305" s="259"/>
      <c r="J305" s="259"/>
      <c r="K305" s="172"/>
      <c r="L305" s="145">
        <f t="shared" si="45"/>
        <v>32</v>
      </c>
      <c r="M305" s="156" t="str">
        <f t="shared" si="46"/>
        <v/>
      </c>
      <c r="N305" s="157" t="str">
        <f t="shared" si="47"/>
        <v/>
      </c>
      <c r="O305" s="157" t="str">
        <f t="shared" si="48"/>
        <v/>
      </c>
      <c r="P305" s="158" t="str">
        <f t="shared" si="49"/>
        <v/>
      </c>
      <c r="Q305" s="157" t="str">
        <f t="shared" si="50"/>
        <v/>
      </c>
      <c r="R305" s="157" t="str">
        <f t="shared" si="51"/>
        <v/>
      </c>
    </row>
    <row r="306" spans="1:18" ht="25.5" customHeight="1" x14ac:dyDescent="0.25">
      <c r="A306" s="270"/>
      <c r="B306" s="254" t="s">
        <v>1</v>
      </c>
      <c r="C306" s="270" t="s">
        <v>2</v>
      </c>
      <c r="D306" s="270" t="s">
        <v>3</v>
      </c>
      <c r="E306" s="347" t="s">
        <v>19</v>
      </c>
      <c r="F306" s="347"/>
      <c r="G306" s="253" t="s">
        <v>4</v>
      </c>
      <c r="H306" s="254" t="s">
        <v>5</v>
      </c>
      <c r="I306" s="254" t="s">
        <v>6</v>
      </c>
      <c r="J306" s="254" t="s">
        <v>7</v>
      </c>
      <c r="K306" s="172"/>
      <c r="L306" s="145">
        <f t="shared" si="45"/>
        <v>33</v>
      </c>
      <c r="M306" s="156" t="str">
        <f t="shared" si="46"/>
        <v/>
      </c>
      <c r="N306" s="157" t="str">
        <f t="shared" si="47"/>
        <v/>
      </c>
      <c r="O306" s="157" t="str">
        <f t="shared" si="48"/>
        <v/>
      </c>
      <c r="P306" s="158" t="str">
        <f t="shared" si="49"/>
        <v/>
      </c>
      <c r="Q306" s="157" t="str">
        <f t="shared" si="50"/>
        <v/>
      </c>
      <c r="R306" s="157" t="str">
        <f t="shared" si="51"/>
        <v/>
      </c>
    </row>
    <row r="307" spans="1:18" ht="26.4" x14ac:dyDescent="0.25">
      <c r="A307" s="271" t="s">
        <v>20</v>
      </c>
      <c r="B307" s="256" t="s">
        <v>698</v>
      </c>
      <c r="C307" s="271" t="s">
        <v>10</v>
      </c>
      <c r="D307" s="271" t="s">
        <v>699</v>
      </c>
      <c r="E307" s="362" t="s">
        <v>315</v>
      </c>
      <c r="F307" s="362"/>
      <c r="G307" s="255" t="s">
        <v>16</v>
      </c>
      <c r="H307" s="258">
        <v>1</v>
      </c>
      <c r="I307" s="257">
        <f>SUMIF(L:L,$L307,M:M)</f>
        <v>17.860000000000003</v>
      </c>
      <c r="J307" s="257">
        <f>TRUNC(H307*I307,2)</f>
        <v>17.86</v>
      </c>
      <c r="K307" s="172"/>
      <c r="L307" s="145">
        <f t="shared" si="45"/>
        <v>33</v>
      </c>
      <c r="M307" s="156" t="str">
        <f t="shared" si="46"/>
        <v/>
      </c>
      <c r="N307" s="157" t="str">
        <f t="shared" si="47"/>
        <v/>
      </c>
      <c r="O307" s="157" t="str">
        <f t="shared" si="48"/>
        <v/>
      </c>
      <c r="P307" s="158" t="str">
        <f t="shared" si="49"/>
        <v xml:space="preserve"> 92982 </v>
      </c>
      <c r="Q307" s="157">
        <f t="shared" si="50"/>
        <v>0</v>
      </c>
      <c r="R307" s="157">
        <f t="shared" si="51"/>
        <v>17.860000000000003</v>
      </c>
    </row>
    <row r="308" spans="1:18" ht="15" customHeight="1" x14ac:dyDescent="0.25">
      <c r="A308" s="272" t="s">
        <v>22</v>
      </c>
      <c r="B308" s="261" t="s">
        <v>298</v>
      </c>
      <c r="C308" s="272" t="s">
        <v>10</v>
      </c>
      <c r="D308" s="272" t="s">
        <v>299</v>
      </c>
      <c r="E308" s="363" t="s">
        <v>27</v>
      </c>
      <c r="F308" s="363"/>
      <c r="G308" s="260" t="s">
        <v>28</v>
      </c>
      <c r="H308" s="263">
        <v>1.2999999999999999E-2</v>
      </c>
      <c r="I308" s="262">
        <f>SUMIFS(J:J,A:A,"Composição",B:B,$B308)</f>
        <v>18.739999999999998</v>
      </c>
      <c r="J308" s="262">
        <f>TRUNC(H308*I308,2)</f>
        <v>0.24</v>
      </c>
      <c r="K308" s="172"/>
      <c r="L308" s="145">
        <f t="shared" si="45"/>
        <v>33</v>
      </c>
      <c r="M308" s="156">
        <f t="shared" si="46"/>
        <v>0.24</v>
      </c>
      <c r="N308" s="157" t="str">
        <f t="shared" si="47"/>
        <v/>
      </c>
      <c r="O308" s="157">
        <f t="shared" si="48"/>
        <v>0.24</v>
      </c>
      <c r="P308" s="158" t="str">
        <f t="shared" si="49"/>
        <v/>
      </c>
      <c r="Q308" s="157" t="str">
        <f t="shared" si="50"/>
        <v/>
      </c>
      <c r="R308" s="157" t="str">
        <f t="shared" si="51"/>
        <v/>
      </c>
    </row>
    <row r="309" spans="1:18" ht="26.4" x14ac:dyDescent="0.25">
      <c r="A309" s="272" t="s">
        <v>22</v>
      </c>
      <c r="B309" s="261" t="s">
        <v>313</v>
      </c>
      <c r="C309" s="272" t="s">
        <v>10</v>
      </c>
      <c r="D309" s="272" t="s">
        <v>314</v>
      </c>
      <c r="E309" s="363" t="s">
        <v>27</v>
      </c>
      <c r="F309" s="363"/>
      <c r="G309" s="260" t="s">
        <v>28</v>
      </c>
      <c r="H309" s="263">
        <v>1.2999999999999999E-2</v>
      </c>
      <c r="I309" s="262">
        <f>SUMIFS(J:J,A:A,"Composição",B:B,$B309)</f>
        <v>24.1</v>
      </c>
      <c r="J309" s="262">
        <f>TRUNC(H309*I309,2)</f>
        <v>0.31</v>
      </c>
      <c r="K309" s="172"/>
      <c r="L309" s="145">
        <f t="shared" si="45"/>
        <v>33</v>
      </c>
      <c r="M309" s="156">
        <f t="shared" si="46"/>
        <v>0.31</v>
      </c>
      <c r="N309" s="157" t="str">
        <f t="shared" si="47"/>
        <v/>
      </c>
      <c r="O309" s="157">
        <f t="shared" si="48"/>
        <v>0.31</v>
      </c>
      <c r="P309" s="158" t="str">
        <f t="shared" si="49"/>
        <v/>
      </c>
      <c r="Q309" s="157" t="str">
        <f t="shared" si="50"/>
        <v/>
      </c>
      <c r="R309" s="157" t="str">
        <f t="shared" si="51"/>
        <v/>
      </c>
    </row>
    <row r="310" spans="1:18" ht="39.6" x14ac:dyDescent="0.25">
      <c r="A310" s="273" t="s">
        <v>31</v>
      </c>
      <c r="B310" s="265" t="s">
        <v>476</v>
      </c>
      <c r="C310" s="273" t="str">
        <f>VLOOKUP(B310,INSUMOS!$A:$I,2,FALSE)</f>
        <v>SINAPI</v>
      </c>
      <c r="D310" s="273" t="str">
        <f>VLOOKUP(B310,INSUMOS!$A:$I,3,FALSE)</f>
        <v>CABO DE COBRE, FLEXIVEL, CLASSE 4 OU 5, ISOLACAO EM PVC/A, ANTICHAMA BWF-B, COBERTURA PVC-ST1, ANTICHAMA BWF-B, 1 CONDUTOR, 0,6/1 KV, SECAO NOMINAL 16 MM2</v>
      </c>
      <c r="E310" s="361" t="str">
        <f>VLOOKUP(B310,INSUMOS!$A:$I,4,FALSE)</f>
        <v>Material</v>
      </c>
      <c r="F310" s="361"/>
      <c r="G310" s="264" t="str">
        <f>VLOOKUP(B310,INSUMOS!$A:$I,5,FALSE)</f>
        <v>M</v>
      </c>
      <c r="H310" s="267">
        <v>1.0269999999999999</v>
      </c>
      <c r="I310" s="266">
        <f>VLOOKUP(B310,INSUMOS!$A:$I,8,FALSE)</f>
        <v>16.829999999999998</v>
      </c>
      <c r="J310" s="266">
        <f>TRUNC(H310*I310,2)</f>
        <v>17.28</v>
      </c>
      <c r="K310" s="172"/>
      <c r="L310" s="145">
        <f t="shared" si="45"/>
        <v>33</v>
      </c>
      <c r="M310" s="156">
        <f t="shared" si="46"/>
        <v>17.28</v>
      </c>
      <c r="N310" s="157" t="str">
        <f t="shared" si="47"/>
        <v/>
      </c>
      <c r="O310" s="157">
        <f t="shared" si="48"/>
        <v>17.28</v>
      </c>
      <c r="P310" s="158" t="str">
        <f t="shared" si="49"/>
        <v/>
      </c>
      <c r="Q310" s="157" t="str">
        <f t="shared" si="50"/>
        <v/>
      </c>
      <c r="R310" s="157" t="str">
        <f t="shared" si="51"/>
        <v/>
      </c>
    </row>
    <row r="311" spans="1:18" ht="14.25" customHeight="1" x14ac:dyDescent="0.25">
      <c r="A311" s="273" t="s">
        <v>31</v>
      </c>
      <c r="B311" s="265" t="s">
        <v>285</v>
      </c>
      <c r="C311" s="273" t="str">
        <f>VLOOKUP(B311,INSUMOS!$A:$I,2,FALSE)</f>
        <v>SINAPI</v>
      </c>
      <c r="D311" s="273" t="str">
        <f>VLOOKUP(B311,INSUMOS!$A:$I,3,FALSE)</f>
        <v>FITA ISOLANTE ADESIVA ANTICHAMA, USO ATE 750 V, EM ROLO DE 19 MM X 5 M</v>
      </c>
      <c r="E311" s="361" t="str">
        <f>VLOOKUP(B311,INSUMOS!$A:$I,4,FALSE)</f>
        <v>Material</v>
      </c>
      <c r="F311" s="361"/>
      <c r="G311" s="264" t="str">
        <f>VLOOKUP(B311,INSUMOS!$A:$I,5,FALSE)</f>
        <v>UN</v>
      </c>
      <c r="H311" s="267">
        <v>0.01</v>
      </c>
      <c r="I311" s="266">
        <f>VLOOKUP(B311,INSUMOS!$A:$I,8,FALSE)</f>
        <v>3.6</v>
      </c>
      <c r="J311" s="266">
        <f>TRUNC(H311*I311,2)</f>
        <v>0.03</v>
      </c>
      <c r="K311" s="172"/>
      <c r="L311" s="145">
        <f t="shared" si="45"/>
        <v>33</v>
      </c>
      <c r="M311" s="156">
        <f t="shared" si="46"/>
        <v>0.03</v>
      </c>
      <c r="N311" s="157" t="str">
        <f t="shared" si="47"/>
        <v/>
      </c>
      <c r="O311" s="157">
        <f t="shared" si="48"/>
        <v>0.03</v>
      </c>
      <c r="P311" s="158" t="str">
        <f t="shared" si="49"/>
        <v/>
      </c>
      <c r="Q311" s="157" t="str">
        <f t="shared" si="50"/>
        <v/>
      </c>
      <c r="R311" s="157" t="str">
        <f t="shared" si="51"/>
        <v/>
      </c>
    </row>
    <row r="312" spans="1:18" x14ac:dyDescent="0.25">
      <c r="A312" s="274"/>
      <c r="B312" s="274"/>
      <c r="C312" s="274"/>
      <c r="D312" s="274"/>
      <c r="E312" s="274"/>
      <c r="F312" s="268"/>
      <c r="G312" s="274"/>
      <c r="H312" s="268"/>
      <c r="I312" s="274"/>
      <c r="J312" s="268"/>
      <c r="K312" s="172"/>
      <c r="L312" s="145">
        <f t="shared" si="45"/>
        <v>33</v>
      </c>
      <c r="M312" s="156" t="str">
        <f t="shared" si="46"/>
        <v/>
      </c>
      <c r="N312" s="157" t="str">
        <f t="shared" si="47"/>
        <v/>
      </c>
      <c r="O312" s="157" t="str">
        <f t="shared" si="48"/>
        <v/>
      </c>
      <c r="P312" s="158" t="str">
        <f t="shared" si="49"/>
        <v/>
      </c>
      <c r="Q312" s="157" t="str">
        <f t="shared" si="50"/>
        <v/>
      </c>
      <c r="R312" s="157" t="str">
        <f t="shared" si="51"/>
        <v/>
      </c>
    </row>
    <row r="313" spans="1:18" ht="14.4" thickBot="1" x14ac:dyDescent="0.3">
      <c r="A313" s="274"/>
      <c r="B313" s="274"/>
      <c r="C313" s="274"/>
      <c r="D313" s="274"/>
      <c r="E313" s="274"/>
      <c r="F313" s="268"/>
      <c r="G313" s="274"/>
      <c r="H313" s="350"/>
      <c r="I313" s="350"/>
      <c r="J313" s="268"/>
      <c r="K313" s="172"/>
      <c r="L313" s="145">
        <f t="shared" si="45"/>
        <v>33</v>
      </c>
      <c r="M313" s="156" t="str">
        <f t="shared" si="46"/>
        <v/>
      </c>
      <c r="N313" s="157" t="str">
        <f t="shared" si="47"/>
        <v/>
      </c>
      <c r="O313" s="157" t="str">
        <f t="shared" si="48"/>
        <v/>
      </c>
      <c r="P313" s="158" t="str">
        <f t="shared" si="49"/>
        <v/>
      </c>
      <c r="Q313" s="157" t="str">
        <f t="shared" si="50"/>
        <v/>
      </c>
      <c r="R313" s="157" t="str">
        <f t="shared" si="51"/>
        <v/>
      </c>
    </row>
    <row r="314" spans="1:18" ht="14.4" thickTop="1" x14ac:dyDescent="0.25">
      <c r="A314" s="259"/>
      <c r="B314" s="259"/>
      <c r="C314" s="259"/>
      <c r="D314" s="259"/>
      <c r="E314" s="259"/>
      <c r="F314" s="259"/>
      <c r="G314" s="259"/>
      <c r="H314" s="259"/>
      <c r="I314" s="259"/>
      <c r="J314" s="259"/>
      <c r="K314" s="172"/>
      <c r="L314" s="145">
        <f t="shared" si="45"/>
        <v>33</v>
      </c>
      <c r="M314" s="156" t="str">
        <f t="shared" si="46"/>
        <v/>
      </c>
      <c r="N314" s="157" t="str">
        <f t="shared" si="47"/>
        <v/>
      </c>
      <c r="O314" s="157" t="str">
        <f t="shared" si="48"/>
        <v/>
      </c>
      <c r="P314" s="158" t="str">
        <f t="shared" si="49"/>
        <v/>
      </c>
      <c r="Q314" s="157" t="str">
        <f t="shared" si="50"/>
        <v/>
      </c>
      <c r="R314" s="157" t="str">
        <f t="shared" si="51"/>
        <v/>
      </c>
    </row>
    <row r="315" spans="1:18" ht="14.25" customHeight="1" x14ac:dyDescent="0.25">
      <c r="A315" s="270"/>
      <c r="B315" s="254" t="s">
        <v>1</v>
      </c>
      <c r="C315" s="270" t="s">
        <v>2</v>
      </c>
      <c r="D315" s="270" t="s">
        <v>3</v>
      </c>
      <c r="E315" s="347" t="s">
        <v>19</v>
      </c>
      <c r="F315" s="347"/>
      <c r="G315" s="253" t="s">
        <v>4</v>
      </c>
      <c r="H315" s="254" t="s">
        <v>5</v>
      </c>
      <c r="I315" s="254" t="s">
        <v>6</v>
      </c>
      <c r="J315" s="254" t="s">
        <v>7</v>
      </c>
      <c r="K315" s="172"/>
      <c r="L315" s="145">
        <f t="shared" si="45"/>
        <v>34</v>
      </c>
      <c r="M315" s="156" t="str">
        <f t="shared" si="46"/>
        <v/>
      </c>
      <c r="N315" s="157" t="str">
        <f t="shared" si="47"/>
        <v/>
      </c>
      <c r="O315" s="157" t="str">
        <f t="shared" si="48"/>
        <v/>
      </c>
      <c r="P315" s="158" t="str">
        <f t="shared" si="49"/>
        <v/>
      </c>
      <c r="Q315" s="157" t="str">
        <f t="shared" si="50"/>
        <v/>
      </c>
      <c r="R315" s="157" t="str">
        <f t="shared" si="51"/>
        <v/>
      </c>
    </row>
    <row r="316" spans="1:18" ht="15" customHeight="1" x14ac:dyDescent="0.25">
      <c r="A316" s="271" t="s">
        <v>20</v>
      </c>
      <c r="B316" s="256" t="s">
        <v>696</v>
      </c>
      <c r="C316" s="271" t="s">
        <v>10</v>
      </c>
      <c r="D316" s="271" t="s">
        <v>697</v>
      </c>
      <c r="E316" s="362" t="s">
        <v>315</v>
      </c>
      <c r="F316" s="362"/>
      <c r="G316" s="255" t="s">
        <v>16</v>
      </c>
      <c r="H316" s="258">
        <v>1</v>
      </c>
      <c r="I316" s="257">
        <f>SUMIF(L:L,$L316,M:M)</f>
        <v>28.770000000000003</v>
      </c>
      <c r="J316" s="257">
        <f>TRUNC(H316*I316,2)</f>
        <v>28.77</v>
      </c>
      <c r="K316" s="172"/>
      <c r="L316" s="145">
        <f t="shared" si="45"/>
        <v>34</v>
      </c>
      <c r="M316" s="156" t="str">
        <f t="shared" si="46"/>
        <v/>
      </c>
      <c r="N316" s="157" t="str">
        <f t="shared" si="47"/>
        <v/>
      </c>
      <c r="O316" s="157" t="str">
        <f t="shared" si="48"/>
        <v/>
      </c>
      <c r="P316" s="158" t="str">
        <f t="shared" si="49"/>
        <v xml:space="preserve"> 92984 </v>
      </c>
      <c r="Q316" s="157">
        <f t="shared" si="50"/>
        <v>0</v>
      </c>
      <c r="R316" s="157">
        <f t="shared" si="51"/>
        <v>28.770000000000003</v>
      </c>
    </row>
    <row r="317" spans="1:18" ht="15" customHeight="1" x14ac:dyDescent="0.25">
      <c r="A317" s="272" t="s">
        <v>22</v>
      </c>
      <c r="B317" s="261" t="s">
        <v>298</v>
      </c>
      <c r="C317" s="272" t="s">
        <v>10</v>
      </c>
      <c r="D317" s="272" t="s">
        <v>299</v>
      </c>
      <c r="E317" s="363" t="s">
        <v>27</v>
      </c>
      <c r="F317" s="363"/>
      <c r="G317" s="260" t="s">
        <v>28</v>
      </c>
      <c r="H317" s="263">
        <v>6.4000000000000001E-2</v>
      </c>
      <c r="I317" s="262">
        <f>SUMIFS(J:J,A:A,"Composição",B:B,$B317)</f>
        <v>18.739999999999998</v>
      </c>
      <c r="J317" s="262">
        <f>TRUNC(H317*I317,2)</f>
        <v>1.19</v>
      </c>
      <c r="K317" s="172"/>
      <c r="L317" s="145">
        <f t="shared" si="45"/>
        <v>34</v>
      </c>
      <c r="M317" s="156">
        <f t="shared" si="46"/>
        <v>1.19</v>
      </c>
      <c r="N317" s="157" t="str">
        <f t="shared" si="47"/>
        <v/>
      </c>
      <c r="O317" s="157">
        <f t="shared" si="48"/>
        <v>1.19</v>
      </c>
      <c r="P317" s="158" t="str">
        <f t="shared" si="49"/>
        <v/>
      </c>
      <c r="Q317" s="157" t="str">
        <f t="shared" si="50"/>
        <v/>
      </c>
      <c r="R317" s="157" t="str">
        <f t="shared" si="51"/>
        <v/>
      </c>
    </row>
    <row r="318" spans="1:18" ht="26.4" x14ac:dyDescent="0.25">
      <c r="A318" s="272" t="s">
        <v>22</v>
      </c>
      <c r="B318" s="261" t="s">
        <v>313</v>
      </c>
      <c r="C318" s="272" t="s">
        <v>10</v>
      </c>
      <c r="D318" s="272" t="s">
        <v>314</v>
      </c>
      <c r="E318" s="363" t="s">
        <v>27</v>
      </c>
      <c r="F318" s="363"/>
      <c r="G318" s="260" t="s">
        <v>28</v>
      </c>
      <c r="H318" s="263">
        <v>6.4000000000000001E-2</v>
      </c>
      <c r="I318" s="262">
        <f>SUMIFS(J:J,A:A,"Composição",B:B,$B318)</f>
        <v>24.1</v>
      </c>
      <c r="J318" s="262">
        <f>TRUNC(H318*I318,2)</f>
        <v>1.54</v>
      </c>
      <c r="K318" s="172"/>
      <c r="L318" s="145">
        <f t="shared" si="45"/>
        <v>34</v>
      </c>
      <c r="M318" s="156">
        <f t="shared" si="46"/>
        <v>1.54</v>
      </c>
      <c r="N318" s="157" t="str">
        <f t="shared" si="47"/>
        <v/>
      </c>
      <c r="O318" s="157">
        <f t="shared" si="48"/>
        <v>1.54</v>
      </c>
      <c r="P318" s="158" t="str">
        <f t="shared" si="49"/>
        <v/>
      </c>
      <c r="Q318" s="157" t="str">
        <f t="shared" si="50"/>
        <v/>
      </c>
      <c r="R318" s="157" t="str">
        <f t="shared" si="51"/>
        <v/>
      </c>
    </row>
    <row r="319" spans="1:18" ht="39.6" x14ac:dyDescent="0.25">
      <c r="A319" s="273" t="s">
        <v>31</v>
      </c>
      <c r="B319" s="265" t="s">
        <v>418</v>
      </c>
      <c r="C319" s="273" t="str">
        <f>VLOOKUP(B319,INSUMOS!$A:$I,2,FALSE)</f>
        <v>SINAPI</v>
      </c>
      <c r="D319" s="273" t="str">
        <f>VLOOKUP(B319,INSUMOS!$A:$I,3,FALSE)</f>
        <v>CABO DE COBRE, FLEXIVEL, CLASSE 4 OU 5, ISOLACAO EM PVC/A, ANTICHAMA BWF-B, COBERTURA PVC-ST1, ANTICHAMA BWF-B, 1 CONDUTOR, 0,6/1 KV, SECAO NOMINAL 25 MM2</v>
      </c>
      <c r="E319" s="361" t="str">
        <f>VLOOKUP(B319,INSUMOS!$A:$I,4,FALSE)</f>
        <v>Material</v>
      </c>
      <c r="F319" s="361"/>
      <c r="G319" s="264" t="str">
        <f>VLOOKUP(B319,INSUMOS!$A:$I,5,FALSE)</f>
        <v>M</v>
      </c>
      <c r="H319" s="267">
        <v>1.0149999999999999</v>
      </c>
      <c r="I319" s="266">
        <f>VLOOKUP(B319,INSUMOS!$A:$I,8,FALSE)</f>
        <v>25.63</v>
      </c>
      <c r="J319" s="266">
        <f>TRUNC(H319*I319,2)</f>
        <v>26.01</v>
      </c>
      <c r="K319" s="172"/>
      <c r="L319" s="145">
        <f t="shared" si="45"/>
        <v>34</v>
      </c>
      <c r="M319" s="156">
        <f t="shared" si="46"/>
        <v>26.01</v>
      </c>
      <c r="N319" s="157" t="str">
        <f t="shared" si="47"/>
        <v/>
      </c>
      <c r="O319" s="157">
        <f t="shared" si="48"/>
        <v>26.01</v>
      </c>
      <c r="P319" s="158" t="str">
        <f t="shared" si="49"/>
        <v/>
      </c>
      <c r="Q319" s="157" t="str">
        <f t="shared" si="50"/>
        <v/>
      </c>
      <c r="R319" s="157" t="str">
        <f t="shared" si="51"/>
        <v/>
      </c>
    </row>
    <row r="320" spans="1:18" ht="26.4" x14ac:dyDescent="0.25">
      <c r="A320" s="273" t="s">
        <v>31</v>
      </c>
      <c r="B320" s="265" t="s">
        <v>285</v>
      </c>
      <c r="C320" s="273" t="str">
        <f>VLOOKUP(B320,INSUMOS!$A:$I,2,FALSE)</f>
        <v>SINAPI</v>
      </c>
      <c r="D320" s="273" t="str">
        <f>VLOOKUP(B320,INSUMOS!$A:$I,3,FALSE)</f>
        <v>FITA ISOLANTE ADESIVA ANTICHAMA, USO ATE 750 V, EM ROLO DE 19 MM X 5 M</v>
      </c>
      <c r="E320" s="361" t="str">
        <f>VLOOKUP(B320,INSUMOS!$A:$I,4,FALSE)</f>
        <v>Material</v>
      </c>
      <c r="F320" s="361"/>
      <c r="G320" s="264" t="str">
        <f>VLOOKUP(B320,INSUMOS!$A:$I,5,FALSE)</f>
        <v>UN</v>
      </c>
      <c r="H320" s="267">
        <v>8.9999999999999993E-3</v>
      </c>
      <c r="I320" s="266">
        <f>VLOOKUP(B320,INSUMOS!$A:$I,8,FALSE)</f>
        <v>3.6</v>
      </c>
      <c r="J320" s="266">
        <f>TRUNC(H320*I320,2)</f>
        <v>0.03</v>
      </c>
      <c r="K320" s="172"/>
      <c r="L320" s="145">
        <f t="shared" si="45"/>
        <v>34</v>
      </c>
      <c r="M320" s="156">
        <f t="shared" si="46"/>
        <v>0.03</v>
      </c>
      <c r="N320" s="157" t="str">
        <f t="shared" si="47"/>
        <v/>
      </c>
      <c r="O320" s="157">
        <f t="shared" si="48"/>
        <v>0.03</v>
      </c>
      <c r="P320" s="158" t="str">
        <f t="shared" si="49"/>
        <v/>
      </c>
      <c r="Q320" s="157" t="str">
        <f t="shared" si="50"/>
        <v/>
      </c>
      <c r="R320" s="157" t="str">
        <f t="shared" si="51"/>
        <v/>
      </c>
    </row>
    <row r="321" spans="1:18" ht="38.25" customHeight="1" x14ac:dyDescent="0.25">
      <c r="A321" s="274"/>
      <c r="B321" s="274"/>
      <c r="C321" s="274"/>
      <c r="D321" s="274"/>
      <c r="E321" s="274"/>
      <c r="F321" s="268"/>
      <c r="G321" s="274"/>
      <c r="H321" s="268"/>
      <c r="I321" s="274"/>
      <c r="J321" s="268"/>
      <c r="K321" s="172"/>
      <c r="L321" s="145">
        <f t="shared" si="45"/>
        <v>34</v>
      </c>
      <c r="M321" s="156" t="str">
        <f t="shared" si="46"/>
        <v/>
      </c>
      <c r="N321" s="157" t="str">
        <f t="shared" si="47"/>
        <v/>
      </c>
      <c r="O321" s="157" t="str">
        <f t="shared" si="48"/>
        <v/>
      </c>
      <c r="P321" s="158" t="str">
        <f t="shared" si="49"/>
        <v/>
      </c>
      <c r="Q321" s="157" t="str">
        <f t="shared" si="50"/>
        <v/>
      </c>
      <c r="R321" s="157" t="str">
        <f t="shared" si="51"/>
        <v/>
      </c>
    </row>
    <row r="322" spans="1:18" ht="38.25" customHeight="1" thickBot="1" x14ac:dyDescent="0.3">
      <c r="A322" s="274"/>
      <c r="B322" s="274"/>
      <c r="C322" s="274"/>
      <c r="D322" s="274"/>
      <c r="E322" s="274"/>
      <c r="F322" s="268"/>
      <c r="G322" s="274"/>
      <c r="H322" s="350"/>
      <c r="I322" s="350"/>
      <c r="J322" s="268"/>
      <c r="K322" s="172"/>
      <c r="L322" s="145">
        <f t="shared" si="45"/>
        <v>34</v>
      </c>
      <c r="M322" s="156" t="str">
        <f t="shared" si="46"/>
        <v/>
      </c>
      <c r="N322" s="157" t="str">
        <f t="shared" si="47"/>
        <v/>
      </c>
      <c r="O322" s="157" t="str">
        <f t="shared" si="48"/>
        <v/>
      </c>
      <c r="P322" s="158" t="str">
        <f t="shared" si="49"/>
        <v/>
      </c>
      <c r="Q322" s="157" t="str">
        <f t="shared" si="50"/>
        <v/>
      </c>
      <c r="R322" s="157" t="str">
        <f t="shared" si="51"/>
        <v/>
      </c>
    </row>
    <row r="323" spans="1:18" ht="14.25" customHeight="1" thickTop="1" x14ac:dyDescent="0.25">
      <c r="A323" s="259"/>
      <c r="B323" s="259"/>
      <c r="C323" s="259"/>
      <c r="D323" s="259"/>
      <c r="E323" s="259"/>
      <c r="F323" s="259"/>
      <c r="G323" s="259"/>
      <c r="H323" s="259"/>
      <c r="I323" s="259"/>
      <c r="J323" s="259"/>
      <c r="K323" s="172"/>
      <c r="L323" s="145">
        <f t="shared" si="45"/>
        <v>34</v>
      </c>
      <c r="M323" s="156" t="str">
        <f t="shared" si="46"/>
        <v/>
      </c>
      <c r="N323" s="157" t="str">
        <f t="shared" si="47"/>
        <v/>
      </c>
      <c r="O323" s="157" t="str">
        <f t="shared" si="48"/>
        <v/>
      </c>
      <c r="P323" s="158" t="str">
        <f t="shared" si="49"/>
        <v/>
      </c>
      <c r="Q323" s="157" t="str">
        <f t="shared" si="50"/>
        <v/>
      </c>
      <c r="R323" s="157" t="str">
        <f t="shared" si="51"/>
        <v/>
      </c>
    </row>
    <row r="324" spans="1:18" x14ac:dyDescent="0.25">
      <c r="A324" s="270"/>
      <c r="B324" s="254" t="s">
        <v>1</v>
      </c>
      <c r="C324" s="270" t="s">
        <v>2</v>
      </c>
      <c r="D324" s="270" t="s">
        <v>3</v>
      </c>
      <c r="E324" s="347" t="s">
        <v>19</v>
      </c>
      <c r="F324" s="347"/>
      <c r="G324" s="253" t="s">
        <v>4</v>
      </c>
      <c r="H324" s="254" t="s">
        <v>5</v>
      </c>
      <c r="I324" s="254" t="s">
        <v>6</v>
      </c>
      <c r="J324" s="254" t="s">
        <v>7</v>
      </c>
      <c r="K324" s="172"/>
      <c r="L324" s="145">
        <f t="shared" si="45"/>
        <v>35</v>
      </c>
      <c r="M324" s="156" t="str">
        <f t="shared" si="46"/>
        <v/>
      </c>
      <c r="N324" s="157" t="str">
        <f t="shared" si="47"/>
        <v/>
      </c>
      <c r="O324" s="157" t="str">
        <f t="shared" si="48"/>
        <v/>
      </c>
      <c r="P324" s="158" t="str">
        <f t="shared" si="49"/>
        <v/>
      </c>
      <c r="Q324" s="157" t="str">
        <f t="shared" si="50"/>
        <v/>
      </c>
      <c r="R324" s="157" t="str">
        <f t="shared" si="51"/>
        <v/>
      </c>
    </row>
    <row r="325" spans="1:18" ht="15" customHeight="1" x14ac:dyDescent="0.25">
      <c r="A325" s="271" t="s">
        <v>20</v>
      </c>
      <c r="B325" s="256" t="s">
        <v>703</v>
      </c>
      <c r="C325" s="271" t="s">
        <v>10</v>
      </c>
      <c r="D325" s="271" t="s">
        <v>704</v>
      </c>
      <c r="E325" s="362" t="s">
        <v>315</v>
      </c>
      <c r="F325" s="362"/>
      <c r="G325" s="255" t="s">
        <v>16</v>
      </c>
      <c r="H325" s="258">
        <v>1</v>
      </c>
      <c r="I325" s="257">
        <f>SUMIF(L:L,$L325,M:M)</f>
        <v>54.85</v>
      </c>
      <c r="J325" s="257">
        <f>TRUNC(H325*I325,2)</f>
        <v>54.85</v>
      </c>
      <c r="K325" s="172"/>
      <c r="L325" s="145">
        <f t="shared" si="45"/>
        <v>35</v>
      </c>
      <c r="M325" s="156" t="str">
        <f t="shared" si="46"/>
        <v/>
      </c>
      <c r="N325" s="157" t="str">
        <f t="shared" si="47"/>
        <v/>
      </c>
      <c r="O325" s="157" t="str">
        <f t="shared" si="48"/>
        <v/>
      </c>
      <c r="P325" s="158" t="str">
        <f t="shared" si="49"/>
        <v xml:space="preserve"> 92988 </v>
      </c>
      <c r="Q325" s="157">
        <f t="shared" si="50"/>
        <v>0</v>
      </c>
      <c r="R325" s="157">
        <f t="shared" si="51"/>
        <v>54.85</v>
      </c>
    </row>
    <row r="326" spans="1:18" ht="15" customHeight="1" x14ac:dyDescent="0.25">
      <c r="A326" s="272" t="s">
        <v>22</v>
      </c>
      <c r="B326" s="261" t="s">
        <v>298</v>
      </c>
      <c r="C326" s="272" t="s">
        <v>10</v>
      </c>
      <c r="D326" s="272" t="s">
        <v>299</v>
      </c>
      <c r="E326" s="363" t="s">
        <v>27</v>
      </c>
      <c r="F326" s="363"/>
      <c r="G326" s="260" t="s">
        <v>28</v>
      </c>
      <c r="H326" s="263">
        <v>8.6999999999999994E-2</v>
      </c>
      <c r="I326" s="262">
        <f>SUMIFS(J:J,A:A,"Composição",B:B,$B326)</f>
        <v>18.739999999999998</v>
      </c>
      <c r="J326" s="262">
        <f>TRUNC(H326*I326,2)</f>
        <v>1.63</v>
      </c>
      <c r="K326" s="172"/>
      <c r="L326" s="145">
        <f t="shared" si="45"/>
        <v>35</v>
      </c>
      <c r="M326" s="156">
        <f t="shared" si="46"/>
        <v>1.63</v>
      </c>
      <c r="N326" s="157" t="str">
        <f t="shared" si="47"/>
        <v/>
      </c>
      <c r="O326" s="157">
        <f t="shared" si="48"/>
        <v>1.63</v>
      </c>
      <c r="P326" s="158" t="str">
        <f t="shared" si="49"/>
        <v/>
      </c>
      <c r="Q326" s="157" t="str">
        <f t="shared" si="50"/>
        <v/>
      </c>
      <c r="R326" s="157" t="str">
        <f t="shared" si="51"/>
        <v/>
      </c>
    </row>
    <row r="327" spans="1:18" ht="25.5" customHeight="1" x14ac:dyDescent="0.25">
      <c r="A327" s="272" t="s">
        <v>22</v>
      </c>
      <c r="B327" s="261" t="s">
        <v>313</v>
      </c>
      <c r="C327" s="272" t="s">
        <v>10</v>
      </c>
      <c r="D327" s="272" t="s">
        <v>314</v>
      </c>
      <c r="E327" s="363" t="s">
        <v>27</v>
      </c>
      <c r="F327" s="363"/>
      <c r="G327" s="260" t="s">
        <v>28</v>
      </c>
      <c r="H327" s="263">
        <v>8.6999999999999994E-2</v>
      </c>
      <c r="I327" s="262">
        <f>SUMIFS(J:J,A:A,"Composição",B:B,$B327)</f>
        <v>24.1</v>
      </c>
      <c r="J327" s="262">
        <f>TRUNC(H327*I327,2)</f>
        <v>2.09</v>
      </c>
      <c r="K327" s="172"/>
      <c r="L327" s="145">
        <f t="shared" si="45"/>
        <v>35</v>
      </c>
      <c r="M327" s="156">
        <f t="shared" si="46"/>
        <v>2.09</v>
      </c>
      <c r="N327" s="157" t="str">
        <f t="shared" si="47"/>
        <v/>
      </c>
      <c r="O327" s="157">
        <f t="shared" si="48"/>
        <v>2.09</v>
      </c>
      <c r="P327" s="158" t="str">
        <f t="shared" si="49"/>
        <v/>
      </c>
      <c r="Q327" s="157" t="str">
        <f t="shared" si="50"/>
        <v/>
      </c>
      <c r="R327" s="157" t="str">
        <f t="shared" si="51"/>
        <v/>
      </c>
    </row>
    <row r="328" spans="1:18" ht="39.6" x14ac:dyDescent="0.25">
      <c r="A328" s="273" t="s">
        <v>31</v>
      </c>
      <c r="B328" s="265" t="s">
        <v>396</v>
      </c>
      <c r="C328" s="273" t="str">
        <f>VLOOKUP(B328,INSUMOS!$A:$I,2,FALSE)</f>
        <v>SINAPI</v>
      </c>
      <c r="D328" s="273" t="str">
        <f>VLOOKUP(B328,INSUMOS!$A:$I,3,FALSE)</f>
        <v>CABO DE COBRE, FLEXIVEL, CLASSE 4 OU 5, ISOLACAO EM PVC/A, ANTICHAMA BWF-B, COBERTURA PVC-ST1, ANTICHAMA BWF-B, 1 CONDUTOR, 0,6/1 KV, SECAO NOMINAL 50 MM2</v>
      </c>
      <c r="E328" s="361" t="str">
        <f>VLOOKUP(B328,INSUMOS!$A:$I,4,FALSE)</f>
        <v>Material</v>
      </c>
      <c r="F328" s="361"/>
      <c r="G328" s="264" t="str">
        <f>VLOOKUP(B328,INSUMOS!$A:$I,5,FALSE)</f>
        <v>M</v>
      </c>
      <c r="H328" s="267">
        <v>1.0149999999999999</v>
      </c>
      <c r="I328" s="266">
        <f>VLOOKUP(B328,INSUMOS!$A:$I,8,FALSE)</f>
        <v>50.35</v>
      </c>
      <c r="J328" s="266">
        <f>TRUNC(H328*I328,2)</f>
        <v>51.1</v>
      </c>
      <c r="K328" s="172"/>
      <c r="L328" s="145">
        <f t="shared" si="45"/>
        <v>35</v>
      </c>
      <c r="M328" s="156">
        <f t="shared" si="46"/>
        <v>51.1</v>
      </c>
      <c r="N328" s="157" t="str">
        <f t="shared" si="47"/>
        <v/>
      </c>
      <c r="O328" s="157">
        <f t="shared" si="48"/>
        <v>51.1</v>
      </c>
      <c r="P328" s="158" t="str">
        <f t="shared" si="49"/>
        <v/>
      </c>
      <c r="Q328" s="157" t="str">
        <f t="shared" si="50"/>
        <v/>
      </c>
      <c r="R328" s="157" t="str">
        <f t="shared" si="51"/>
        <v/>
      </c>
    </row>
    <row r="329" spans="1:18" ht="14.25" customHeight="1" x14ac:dyDescent="0.25">
      <c r="A329" s="273" t="s">
        <v>31</v>
      </c>
      <c r="B329" s="265" t="s">
        <v>285</v>
      </c>
      <c r="C329" s="273" t="str">
        <f>VLOOKUP(B329,INSUMOS!$A:$I,2,FALSE)</f>
        <v>SINAPI</v>
      </c>
      <c r="D329" s="273" t="str">
        <f>VLOOKUP(B329,INSUMOS!$A:$I,3,FALSE)</f>
        <v>FITA ISOLANTE ADESIVA ANTICHAMA, USO ATE 750 V, EM ROLO DE 19 MM X 5 M</v>
      </c>
      <c r="E329" s="361" t="str">
        <f>VLOOKUP(B329,INSUMOS!$A:$I,4,FALSE)</f>
        <v>Material</v>
      </c>
      <c r="F329" s="361"/>
      <c r="G329" s="264" t="str">
        <f>VLOOKUP(B329,INSUMOS!$A:$I,5,FALSE)</f>
        <v>UN</v>
      </c>
      <c r="H329" s="267">
        <v>8.9999999999999993E-3</v>
      </c>
      <c r="I329" s="266">
        <f>VLOOKUP(B329,INSUMOS!$A:$I,8,FALSE)</f>
        <v>3.6</v>
      </c>
      <c r="J329" s="266">
        <f>TRUNC(H329*I329,2)</f>
        <v>0.03</v>
      </c>
      <c r="K329" s="172"/>
      <c r="L329" s="145">
        <f t="shared" si="45"/>
        <v>35</v>
      </c>
      <c r="M329" s="156">
        <f t="shared" si="46"/>
        <v>0.03</v>
      </c>
      <c r="N329" s="157" t="str">
        <f t="shared" si="47"/>
        <v/>
      </c>
      <c r="O329" s="157">
        <f t="shared" si="48"/>
        <v>0.03</v>
      </c>
      <c r="P329" s="158" t="str">
        <f t="shared" si="49"/>
        <v/>
      </c>
      <c r="Q329" s="157" t="str">
        <f t="shared" si="50"/>
        <v/>
      </c>
      <c r="R329" s="157" t="str">
        <f t="shared" si="51"/>
        <v/>
      </c>
    </row>
    <row r="330" spans="1:18" ht="14.25" customHeight="1" x14ac:dyDescent="0.25">
      <c r="A330" s="274"/>
      <c r="B330" s="274"/>
      <c r="C330" s="274"/>
      <c r="D330" s="274"/>
      <c r="E330" s="274"/>
      <c r="F330" s="268"/>
      <c r="G330" s="274"/>
      <c r="H330" s="268"/>
      <c r="I330" s="274"/>
      <c r="J330" s="268"/>
      <c r="K330" s="172"/>
      <c r="L330" s="145">
        <f t="shared" si="45"/>
        <v>35</v>
      </c>
      <c r="M330" s="156" t="str">
        <f t="shared" si="46"/>
        <v/>
      </c>
      <c r="N330" s="157" t="str">
        <f t="shared" si="47"/>
        <v/>
      </c>
      <c r="O330" s="157" t="str">
        <f t="shared" si="48"/>
        <v/>
      </c>
      <c r="P330" s="158" t="str">
        <f t="shared" si="49"/>
        <v/>
      </c>
      <c r="Q330" s="157" t="str">
        <f t="shared" si="50"/>
        <v/>
      </c>
      <c r="R330" s="157" t="str">
        <f t="shared" si="51"/>
        <v/>
      </c>
    </row>
    <row r="331" spans="1:18" ht="14.4" thickBot="1" x14ac:dyDescent="0.3">
      <c r="A331" s="274"/>
      <c r="B331" s="274"/>
      <c r="C331" s="274"/>
      <c r="D331" s="274"/>
      <c r="E331" s="274"/>
      <c r="F331" s="268"/>
      <c r="G331" s="274"/>
      <c r="H331" s="350"/>
      <c r="I331" s="350"/>
      <c r="J331" s="268"/>
      <c r="K331" s="172"/>
      <c r="L331" s="145">
        <f t="shared" si="45"/>
        <v>35</v>
      </c>
      <c r="M331" s="156" t="str">
        <f t="shared" si="46"/>
        <v/>
      </c>
      <c r="N331" s="157" t="str">
        <f t="shared" si="47"/>
        <v/>
      </c>
      <c r="O331" s="157" t="str">
        <f t="shared" si="48"/>
        <v/>
      </c>
      <c r="P331" s="158" t="str">
        <f t="shared" si="49"/>
        <v/>
      </c>
      <c r="Q331" s="157" t="str">
        <f t="shared" si="50"/>
        <v/>
      </c>
      <c r="R331" s="157" t="str">
        <f t="shared" si="51"/>
        <v/>
      </c>
    </row>
    <row r="332" spans="1:18" ht="14.4" thickTop="1" x14ac:dyDescent="0.25">
      <c r="A332" s="259"/>
      <c r="B332" s="259"/>
      <c r="C332" s="259"/>
      <c r="D332" s="259"/>
      <c r="E332" s="259"/>
      <c r="F332" s="259"/>
      <c r="G332" s="259"/>
      <c r="H332" s="259"/>
      <c r="I332" s="259"/>
      <c r="J332" s="259"/>
      <c r="K332" s="172"/>
      <c r="L332" s="145">
        <f t="shared" si="45"/>
        <v>35</v>
      </c>
      <c r="M332" s="156" t="str">
        <f t="shared" si="46"/>
        <v/>
      </c>
      <c r="N332" s="157" t="str">
        <f t="shared" si="47"/>
        <v/>
      </c>
      <c r="O332" s="157" t="str">
        <f t="shared" si="48"/>
        <v/>
      </c>
      <c r="P332" s="158" t="str">
        <f t="shared" si="49"/>
        <v/>
      </c>
      <c r="Q332" s="157" t="str">
        <f t="shared" si="50"/>
        <v/>
      </c>
      <c r="R332" s="157" t="str">
        <f t="shared" si="51"/>
        <v/>
      </c>
    </row>
    <row r="333" spans="1:18" x14ac:dyDescent="0.25">
      <c r="A333" s="270"/>
      <c r="B333" s="254" t="s">
        <v>1</v>
      </c>
      <c r="C333" s="270" t="s">
        <v>2</v>
      </c>
      <c r="D333" s="270" t="s">
        <v>3</v>
      </c>
      <c r="E333" s="347" t="s">
        <v>19</v>
      </c>
      <c r="F333" s="347"/>
      <c r="G333" s="253" t="s">
        <v>4</v>
      </c>
      <c r="H333" s="254" t="s">
        <v>5</v>
      </c>
      <c r="I333" s="254" t="s">
        <v>6</v>
      </c>
      <c r="J333" s="254" t="s">
        <v>7</v>
      </c>
      <c r="K333" s="172"/>
      <c r="L333" s="145">
        <f t="shared" si="45"/>
        <v>36</v>
      </c>
      <c r="M333" s="156" t="str">
        <f t="shared" si="46"/>
        <v/>
      </c>
      <c r="N333" s="157" t="str">
        <f t="shared" si="47"/>
        <v/>
      </c>
      <c r="O333" s="157" t="str">
        <f t="shared" si="48"/>
        <v/>
      </c>
      <c r="P333" s="158" t="str">
        <f t="shared" si="49"/>
        <v/>
      </c>
      <c r="Q333" s="157" t="str">
        <f t="shared" si="50"/>
        <v/>
      </c>
      <c r="R333" s="157" t="str">
        <f t="shared" si="51"/>
        <v/>
      </c>
    </row>
    <row r="334" spans="1:18" x14ac:dyDescent="0.25">
      <c r="A334" s="271" t="s">
        <v>20</v>
      </c>
      <c r="B334" s="256" t="s">
        <v>25</v>
      </c>
      <c r="C334" s="271" t="s">
        <v>10</v>
      </c>
      <c r="D334" s="271" t="s">
        <v>26</v>
      </c>
      <c r="E334" s="362" t="s">
        <v>27</v>
      </c>
      <c r="F334" s="362"/>
      <c r="G334" s="255" t="s">
        <v>28</v>
      </c>
      <c r="H334" s="258">
        <v>1</v>
      </c>
      <c r="I334" s="257">
        <f>SUMIF(L:L,$L334,M:M)</f>
        <v>23.68</v>
      </c>
      <c r="J334" s="257">
        <f t="shared" ref="J334:J342" si="52">TRUNC(H334*I334,2)</f>
        <v>23.68</v>
      </c>
      <c r="K334" s="172"/>
      <c r="L334" s="145">
        <f t="shared" si="45"/>
        <v>36</v>
      </c>
      <c r="M334" s="156" t="str">
        <f t="shared" si="46"/>
        <v/>
      </c>
      <c r="N334" s="157" t="str">
        <f t="shared" si="47"/>
        <v/>
      </c>
      <c r="O334" s="157" t="str">
        <f t="shared" si="48"/>
        <v/>
      </c>
      <c r="P334" s="158" t="str">
        <f t="shared" si="49"/>
        <v xml:space="preserve"> 88262 </v>
      </c>
      <c r="Q334" s="157">
        <f t="shared" si="50"/>
        <v>17.52</v>
      </c>
      <c r="R334" s="157">
        <f t="shared" si="51"/>
        <v>6.16</v>
      </c>
    </row>
    <row r="335" spans="1:18" ht="15" customHeight="1" x14ac:dyDescent="0.25">
      <c r="A335" s="272" t="s">
        <v>22</v>
      </c>
      <c r="B335" s="261" t="s">
        <v>109</v>
      </c>
      <c r="C335" s="272" t="s">
        <v>10</v>
      </c>
      <c r="D335" s="272" t="s">
        <v>81</v>
      </c>
      <c r="E335" s="363" t="s">
        <v>27</v>
      </c>
      <c r="F335" s="363"/>
      <c r="G335" s="260" t="s">
        <v>28</v>
      </c>
      <c r="H335" s="263">
        <v>1</v>
      </c>
      <c r="I335" s="262">
        <f>SUMIFS(J:J,A:A,"Composição",B:B,$B335)</f>
        <v>0.14000000000000001</v>
      </c>
      <c r="J335" s="262">
        <f t="shared" si="52"/>
        <v>0.14000000000000001</v>
      </c>
      <c r="K335" s="172"/>
      <c r="L335" s="145">
        <f t="shared" si="45"/>
        <v>36</v>
      </c>
      <c r="M335" s="156">
        <f t="shared" si="46"/>
        <v>0.14000000000000001</v>
      </c>
      <c r="N335" s="157" t="str">
        <f t="shared" si="47"/>
        <v/>
      </c>
      <c r="O335" s="157">
        <f t="shared" si="48"/>
        <v>0.14000000000000001</v>
      </c>
      <c r="P335" s="158" t="str">
        <f t="shared" si="49"/>
        <v/>
      </c>
      <c r="Q335" s="157" t="str">
        <f t="shared" si="50"/>
        <v/>
      </c>
      <c r="R335" s="157" t="str">
        <f t="shared" si="51"/>
        <v/>
      </c>
    </row>
    <row r="336" spans="1:18" ht="14.25" customHeight="1" x14ac:dyDescent="0.25">
      <c r="A336" s="273" t="s">
        <v>31</v>
      </c>
      <c r="B336" s="265" t="s">
        <v>90</v>
      </c>
      <c r="C336" s="273" t="str">
        <f>VLOOKUP(B336,INSUMOS!$A:$I,2,FALSE)</f>
        <v>SINAPI</v>
      </c>
      <c r="D336" s="273" t="str">
        <f>VLOOKUP(B336,INSUMOS!$A:$I,3,FALSE)</f>
        <v>ALIMENTACAO - HORISTA (COLETADO CAIXA)</v>
      </c>
      <c r="E336" s="361" t="str">
        <f>VLOOKUP(B336,INSUMOS!$A:$I,4,FALSE)</f>
        <v>Outros</v>
      </c>
      <c r="F336" s="361"/>
      <c r="G336" s="264" t="str">
        <f>VLOOKUP(B336,INSUMOS!$A:$I,5,FALSE)</f>
        <v>H</v>
      </c>
      <c r="H336" s="267">
        <v>1</v>
      </c>
      <c r="I336" s="266">
        <f>VLOOKUP(B336,INSUMOS!$A:$I,8,FALSE)</f>
        <v>2.62</v>
      </c>
      <c r="J336" s="266">
        <f t="shared" si="52"/>
        <v>2.62</v>
      </c>
      <c r="K336" s="172"/>
      <c r="L336" s="145">
        <f t="shared" si="45"/>
        <v>36</v>
      </c>
      <c r="M336" s="156">
        <f t="shared" si="46"/>
        <v>2.62</v>
      </c>
      <c r="N336" s="157" t="str">
        <f t="shared" si="47"/>
        <v/>
      </c>
      <c r="O336" s="157">
        <f t="shared" si="48"/>
        <v>2.62</v>
      </c>
      <c r="P336" s="158" t="str">
        <f t="shared" si="49"/>
        <v/>
      </c>
      <c r="Q336" s="157" t="str">
        <f t="shared" si="50"/>
        <v/>
      </c>
      <c r="R336" s="157" t="str">
        <f t="shared" si="51"/>
        <v/>
      </c>
    </row>
    <row r="337" spans="1:18" ht="25.5" customHeight="1" x14ac:dyDescent="0.25">
      <c r="A337" s="273" t="s">
        <v>31</v>
      </c>
      <c r="B337" s="265" t="s">
        <v>110</v>
      </c>
      <c r="C337" s="273" t="str">
        <f>VLOOKUP(B337,INSUMOS!$A:$I,2,FALSE)</f>
        <v>SINAPI</v>
      </c>
      <c r="D337" s="273" t="str">
        <f>VLOOKUP(B337,INSUMOS!$A:$I,3,FALSE)</f>
        <v>CARPINTEIRO DE FORMAS</v>
      </c>
      <c r="E337" s="361" t="str">
        <f>VLOOKUP(B337,INSUMOS!$A:$I,4,FALSE)</f>
        <v>Mão de Obra</v>
      </c>
      <c r="F337" s="361"/>
      <c r="G337" s="264" t="str">
        <f>VLOOKUP(B337,INSUMOS!$A:$I,5,FALSE)</f>
        <v>H</v>
      </c>
      <c r="H337" s="267">
        <v>1</v>
      </c>
      <c r="I337" s="266">
        <f>VLOOKUP(B337,INSUMOS!$A:$I,8,FALSE)</f>
        <v>17.52</v>
      </c>
      <c r="J337" s="266">
        <f t="shared" si="52"/>
        <v>17.52</v>
      </c>
      <c r="K337" s="172"/>
      <c r="L337" s="145">
        <f t="shared" ref="L337:L400" si="53">IF(AND(A338&lt;&gt;"",A337=""),L336+1,L336)</f>
        <v>36</v>
      </c>
      <c r="M337" s="156">
        <f t="shared" ref="M337:M400" si="54">IF(OR(A337="Insumo",A337="Composição Auxiliar"),J337,"")</f>
        <v>17.52</v>
      </c>
      <c r="N337" s="157">
        <f t="shared" ref="N337:N400" si="55">IF(E337="Mão de Obra",J337,"")</f>
        <v>17.52</v>
      </c>
      <c r="O337" s="157" t="str">
        <f t="shared" ref="O337:O400" si="56">IF(N337&lt;&gt;"","",M337)</f>
        <v/>
      </c>
      <c r="P337" s="158" t="str">
        <f t="shared" ref="P337:P400" si="57">IF(A337="Composição",B337,"")</f>
        <v/>
      </c>
      <c r="Q337" s="157" t="str">
        <f t="shared" ref="Q337:Q400" si="58">IF(P337&lt;&gt;"",SUMIF(L337:L437,L337,N337:N437),"")</f>
        <v/>
      </c>
      <c r="R337" s="157" t="str">
        <f t="shared" ref="R337:R400" si="59">IF(P337&lt;&gt;"",SUMIF(L337:L437,L337,O337:O437),"")</f>
        <v/>
      </c>
    </row>
    <row r="338" spans="1:18" ht="26.4" x14ac:dyDescent="0.25">
      <c r="A338" s="273" t="s">
        <v>31</v>
      </c>
      <c r="B338" s="265" t="s">
        <v>91</v>
      </c>
      <c r="C338" s="273" t="str">
        <f>VLOOKUP(B338,INSUMOS!$A:$I,2,FALSE)</f>
        <v>SINAPI</v>
      </c>
      <c r="D338" s="273" t="str">
        <f>VLOOKUP(B338,INSUMOS!$A:$I,3,FALSE)</f>
        <v>EPI - FAMILIA CARPINTEIRO DE FORMAS - HORISTA (ENCARGOS COMPLEMENTARES - COLETADO CAIXA)</v>
      </c>
      <c r="E338" s="361" t="str">
        <f>VLOOKUP(B338,INSUMOS!$A:$I,4,FALSE)</f>
        <v>Equipamento</v>
      </c>
      <c r="F338" s="361"/>
      <c r="G338" s="264" t="str">
        <f>VLOOKUP(B338,INSUMOS!$A:$I,5,FALSE)</f>
        <v>H</v>
      </c>
      <c r="H338" s="267">
        <v>1</v>
      </c>
      <c r="I338" s="266">
        <f>VLOOKUP(B338,INSUMOS!$A:$I,8,FALSE)</f>
        <v>1.05</v>
      </c>
      <c r="J338" s="266">
        <f t="shared" si="52"/>
        <v>1.05</v>
      </c>
      <c r="K338" s="172"/>
      <c r="L338" s="145">
        <f t="shared" si="53"/>
        <v>36</v>
      </c>
      <c r="M338" s="156">
        <f t="shared" si="54"/>
        <v>1.05</v>
      </c>
      <c r="N338" s="157" t="str">
        <f t="shared" si="55"/>
        <v/>
      </c>
      <c r="O338" s="157">
        <f t="shared" si="56"/>
        <v>1.05</v>
      </c>
      <c r="P338" s="158" t="str">
        <f t="shared" si="57"/>
        <v/>
      </c>
      <c r="Q338" s="157" t="str">
        <f t="shared" si="58"/>
        <v/>
      </c>
      <c r="R338" s="157" t="str">
        <f t="shared" si="59"/>
        <v/>
      </c>
    </row>
    <row r="339" spans="1:18" x14ac:dyDescent="0.25">
      <c r="A339" s="273" t="s">
        <v>31</v>
      </c>
      <c r="B339" s="265" t="s">
        <v>92</v>
      </c>
      <c r="C339" s="273" t="str">
        <f>VLOOKUP(B339,INSUMOS!$A:$I,2,FALSE)</f>
        <v>SINAPI</v>
      </c>
      <c r="D339" s="273" t="str">
        <f>VLOOKUP(B339,INSUMOS!$A:$I,3,FALSE)</f>
        <v>EXAMES - HORISTA (COLETADO CAIXA)</v>
      </c>
      <c r="E339" s="361" t="str">
        <f>VLOOKUP(B339,INSUMOS!$A:$I,4,FALSE)</f>
        <v>Outros</v>
      </c>
      <c r="F339" s="361"/>
      <c r="G339" s="264" t="str">
        <f>VLOOKUP(B339,INSUMOS!$A:$I,5,FALSE)</f>
        <v>H</v>
      </c>
      <c r="H339" s="267">
        <v>1</v>
      </c>
      <c r="I339" s="266">
        <f>VLOOKUP(B339,INSUMOS!$A:$I,8,FALSE)</f>
        <v>0.55000000000000004</v>
      </c>
      <c r="J339" s="266">
        <f t="shared" si="52"/>
        <v>0.55000000000000004</v>
      </c>
      <c r="K339" s="172"/>
      <c r="L339" s="145">
        <f t="shared" si="53"/>
        <v>36</v>
      </c>
      <c r="M339" s="156">
        <f t="shared" si="54"/>
        <v>0.55000000000000004</v>
      </c>
      <c r="N339" s="157" t="str">
        <f t="shared" si="55"/>
        <v/>
      </c>
      <c r="O339" s="157">
        <f t="shared" si="56"/>
        <v>0.55000000000000004</v>
      </c>
      <c r="P339" s="158" t="str">
        <f t="shared" si="57"/>
        <v/>
      </c>
      <c r="Q339" s="157" t="str">
        <f t="shared" si="58"/>
        <v/>
      </c>
      <c r="R339" s="157" t="str">
        <f t="shared" si="59"/>
        <v/>
      </c>
    </row>
    <row r="340" spans="1:18" ht="26.4" x14ac:dyDescent="0.25">
      <c r="A340" s="273" t="s">
        <v>31</v>
      </c>
      <c r="B340" s="265" t="s">
        <v>93</v>
      </c>
      <c r="C340" s="273" t="str">
        <f>VLOOKUP(B340,INSUMOS!$A:$I,2,FALSE)</f>
        <v>SINAPI</v>
      </c>
      <c r="D340" s="273" t="str">
        <f>VLOOKUP(B340,INSUMOS!$A:$I,3,FALSE)</f>
        <v>FERRAMENTAS - FAMILIA CARPINTEIRO DE FORMAS - HORISTA (ENCARGOS COMPLEMENTARES - COLETADO CAIXA)</v>
      </c>
      <c r="E340" s="361" t="str">
        <f>VLOOKUP(B340,INSUMOS!$A:$I,4,FALSE)</f>
        <v>Equipamento</v>
      </c>
      <c r="F340" s="361"/>
      <c r="G340" s="264" t="str">
        <f>VLOOKUP(B340,INSUMOS!$A:$I,5,FALSE)</f>
        <v>H</v>
      </c>
      <c r="H340" s="267">
        <v>1</v>
      </c>
      <c r="I340" s="266">
        <f>VLOOKUP(B340,INSUMOS!$A:$I,8,FALSE)</f>
        <v>0.38</v>
      </c>
      <c r="J340" s="266">
        <f t="shared" si="52"/>
        <v>0.38</v>
      </c>
      <c r="K340" s="172"/>
      <c r="L340" s="145">
        <f t="shared" si="53"/>
        <v>36</v>
      </c>
      <c r="M340" s="156">
        <f t="shared" si="54"/>
        <v>0.38</v>
      </c>
      <c r="N340" s="157" t="str">
        <f t="shared" si="55"/>
        <v/>
      </c>
      <c r="O340" s="157">
        <f t="shared" si="56"/>
        <v>0.38</v>
      </c>
      <c r="P340" s="158" t="str">
        <f t="shared" si="57"/>
        <v/>
      </c>
      <c r="Q340" s="157" t="str">
        <f t="shared" si="58"/>
        <v/>
      </c>
      <c r="R340" s="157" t="str">
        <f t="shared" si="59"/>
        <v/>
      </c>
    </row>
    <row r="341" spans="1:18" x14ac:dyDescent="0.25">
      <c r="A341" s="273" t="s">
        <v>31</v>
      </c>
      <c r="B341" s="265" t="s">
        <v>94</v>
      </c>
      <c r="C341" s="273" t="str">
        <f>VLOOKUP(B341,INSUMOS!$A:$I,2,FALSE)</f>
        <v>SINAPI</v>
      </c>
      <c r="D341" s="273" t="str">
        <f>VLOOKUP(B341,INSUMOS!$A:$I,3,FALSE)</f>
        <v>SEGURO - HORISTA (COLETADO CAIXA)</v>
      </c>
      <c r="E341" s="361" t="str">
        <f>VLOOKUP(B341,INSUMOS!$A:$I,4,FALSE)</f>
        <v>Taxas</v>
      </c>
      <c r="F341" s="361"/>
      <c r="G341" s="264" t="str">
        <f>VLOOKUP(B341,INSUMOS!$A:$I,5,FALSE)</f>
        <v>H</v>
      </c>
      <c r="H341" s="267">
        <v>1</v>
      </c>
      <c r="I341" s="266">
        <f>VLOOKUP(B341,INSUMOS!$A:$I,8,FALSE)</f>
        <v>0.06</v>
      </c>
      <c r="J341" s="266">
        <f t="shared" si="52"/>
        <v>0.06</v>
      </c>
      <c r="K341" s="172"/>
      <c r="L341" s="145">
        <f t="shared" si="53"/>
        <v>36</v>
      </c>
      <c r="M341" s="156">
        <f t="shared" si="54"/>
        <v>0.06</v>
      </c>
      <c r="N341" s="157" t="str">
        <f t="shared" si="55"/>
        <v/>
      </c>
      <c r="O341" s="157">
        <f t="shared" si="56"/>
        <v>0.06</v>
      </c>
      <c r="P341" s="158" t="str">
        <f t="shared" si="57"/>
        <v/>
      </c>
      <c r="Q341" s="157" t="str">
        <f t="shared" si="58"/>
        <v/>
      </c>
      <c r="R341" s="157" t="str">
        <f t="shared" si="59"/>
        <v/>
      </c>
    </row>
    <row r="342" spans="1:18" x14ac:dyDescent="0.25">
      <c r="A342" s="273" t="s">
        <v>31</v>
      </c>
      <c r="B342" s="265" t="s">
        <v>95</v>
      </c>
      <c r="C342" s="273" t="str">
        <f>VLOOKUP(B342,INSUMOS!$A:$I,2,FALSE)</f>
        <v>SINAPI</v>
      </c>
      <c r="D342" s="273" t="str">
        <f>VLOOKUP(B342,INSUMOS!$A:$I,3,FALSE)</f>
        <v>TRANSPORTE - HORISTA (COLETADO CAIXA)</v>
      </c>
      <c r="E342" s="361" t="str">
        <f>VLOOKUP(B342,INSUMOS!$A:$I,4,FALSE)</f>
        <v>Serviços</v>
      </c>
      <c r="F342" s="361"/>
      <c r="G342" s="264" t="str">
        <f>VLOOKUP(B342,INSUMOS!$A:$I,5,FALSE)</f>
        <v>H</v>
      </c>
      <c r="H342" s="267">
        <v>1</v>
      </c>
      <c r="I342" s="266">
        <f>VLOOKUP(B342,INSUMOS!$A:$I,8,FALSE)</f>
        <v>1.36</v>
      </c>
      <c r="J342" s="266">
        <f t="shared" si="52"/>
        <v>1.36</v>
      </c>
      <c r="K342" s="172"/>
      <c r="L342" s="145">
        <f t="shared" si="53"/>
        <v>36</v>
      </c>
      <c r="M342" s="156">
        <f t="shared" si="54"/>
        <v>1.36</v>
      </c>
      <c r="N342" s="157" t="str">
        <f t="shared" si="55"/>
        <v/>
      </c>
      <c r="O342" s="157">
        <f t="shared" si="56"/>
        <v>1.36</v>
      </c>
      <c r="P342" s="158" t="str">
        <f t="shared" si="57"/>
        <v/>
      </c>
      <c r="Q342" s="157" t="str">
        <f t="shared" si="58"/>
        <v/>
      </c>
      <c r="R342" s="157" t="str">
        <f t="shared" si="59"/>
        <v/>
      </c>
    </row>
    <row r="343" spans="1:18" x14ac:dyDescent="0.25">
      <c r="A343" s="274"/>
      <c r="B343" s="274"/>
      <c r="C343" s="274"/>
      <c r="D343" s="274"/>
      <c r="E343" s="274"/>
      <c r="F343" s="268"/>
      <c r="G343" s="274"/>
      <c r="H343" s="268"/>
      <c r="I343" s="274"/>
      <c r="J343" s="268"/>
      <c r="K343" s="172"/>
      <c r="L343" s="145">
        <f t="shared" si="53"/>
        <v>36</v>
      </c>
      <c r="M343" s="156" t="str">
        <f t="shared" si="54"/>
        <v/>
      </c>
      <c r="N343" s="157" t="str">
        <f t="shared" si="55"/>
        <v/>
      </c>
      <c r="O343" s="157" t="str">
        <f t="shared" si="56"/>
        <v/>
      </c>
      <c r="P343" s="158" t="str">
        <f t="shared" si="57"/>
        <v/>
      </c>
      <c r="Q343" s="157" t="str">
        <f t="shared" si="58"/>
        <v/>
      </c>
      <c r="R343" s="157" t="str">
        <f t="shared" si="59"/>
        <v/>
      </c>
    </row>
    <row r="344" spans="1:18" ht="15" customHeight="1" thickBot="1" x14ac:dyDescent="0.3">
      <c r="A344" s="274"/>
      <c r="B344" s="274"/>
      <c r="C344" s="274"/>
      <c r="D344" s="274"/>
      <c r="E344" s="274"/>
      <c r="F344" s="268"/>
      <c r="G344" s="274"/>
      <c r="H344" s="350"/>
      <c r="I344" s="350"/>
      <c r="J344" s="268"/>
      <c r="K344" s="172"/>
      <c r="L344" s="145">
        <f t="shared" si="53"/>
        <v>36</v>
      </c>
      <c r="M344" s="156" t="str">
        <f t="shared" si="54"/>
        <v/>
      </c>
      <c r="N344" s="157" t="str">
        <f t="shared" si="55"/>
        <v/>
      </c>
      <c r="O344" s="157" t="str">
        <f t="shared" si="56"/>
        <v/>
      </c>
      <c r="P344" s="158" t="str">
        <f t="shared" si="57"/>
        <v/>
      </c>
      <c r="Q344" s="157" t="str">
        <f t="shared" si="58"/>
        <v/>
      </c>
      <c r="R344" s="157" t="str">
        <f t="shared" si="59"/>
        <v/>
      </c>
    </row>
    <row r="345" spans="1:18" ht="14.4" thickTop="1" x14ac:dyDescent="0.25">
      <c r="A345" s="259"/>
      <c r="B345" s="259"/>
      <c r="C345" s="259"/>
      <c r="D345" s="259"/>
      <c r="E345" s="259"/>
      <c r="F345" s="259"/>
      <c r="G345" s="259"/>
      <c r="H345" s="259"/>
      <c r="I345" s="259"/>
      <c r="J345" s="259"/>
      <c r="K345" s="172"/>
      <c r="L345" s="145">
        <f t="shared" si="53"/>
        <v>36</v>
      </c>
      <c r="M345" s="156" t="str">
        <f t="shared" si="54"/>
        <v/>
      </c>
      <c r="N345" s="157" t="str">
        <f t="shared" si="55"/>
        <v/>
      </c>
      <c r="O345" s="157" t="str">
        <f t="shared" si="56"/>
        <v/>
      </c>
      <c r="P345" s="158" t="str">
        <f t="shared" si="57"/>
        <v/>
      </c>
      <c r="Q345" s="157" t="str">
        <f t="shared" si="58"/>
        <v/>
      </c>
      <c r="R345" s="157" t="str">
        <f t="shared" si="59"/>
        <v/>
      </c>
    </row>
    <row r="346" spans="1:18" x14ac:dyDescent="0.25">
      <c r="A346" s="270"/>
      <c r="B346" s="254" t="s">
        <v>1</v>
      </c>
      <c r="C346" s="270" t="s">
        <v>2</v>
      </c>
      <c r="D346" s="270" t="s">
        <v>3</v>
      </c>
      <c r="E346" s="347" t="s">
        <v>19</v>
      </c>
      <c r="F346" s="347"/>
      <c r="G346" s="253" t="s">
        <v>4</v>
      </c>
      <c r="H346" s="254" t="s">
        <v>5</v>
      </c>
      <c r="I346" s="254" t="s">
        <v>6</v>
      </c>
      <c r="J346" s="254" t="s">
        <v>7</v>
      </c>
      <c r="K346" s="172"/>
      <c r="L346" s="145">
        <f t="shared" si="53"/>
        <v>37</v>
      </c>
      <c r="M346" s="156" t="str">
        <f t="shared" si="54"/>
        <v/>
      </c>
      <c r="N346" s="157" t="str">
        <f t="shared" si="55"/>
        <v/>
      </c>
      <c r="O346" s="157" t="str">
        <f t="shared" si="56"/>
        <v/>
      </c>
      <c r="P346" s="158" t="str">
        <f t="shared" si="57"/>
        <v/>
      </c>
      <c r="Q346" s="157" t="str">
        <f t="shared" si="58"/>
        <v/>
      </c>
      <c r="R346" s="157" t="str">
        <f t="shared" si="59"/>
        <v/>
      </c>
    </row>
    <row r="347" spans="1:18" ht="39.6" x14ac:dyDescent="0.25">
      <c r="A347" s="271" t="s">
        <v>20</v>
      </c>
      <c r="B347" s="256" t="s">
        <v>23</v>
      </c>
      <c r="C347" s="271" t="s">
        <v>10</v>
      </c>
      <c r="D347" s="271" t="s">
        <v>637</v>
      </c>
      <c r="E347" s="362" t="s">
        <v>24</v>
      </c>
      <c r="F347" s="362"/>
      <c r="G347" s="255" t="s">
        <v>18</v>
      </c>
      <c r="H347" s="258">
        <v>1</v>
      </c>
      <c r="I347" s="257">
        <f>SUMIF(L:L,$L347,M:M)</f>
        <v>329.53999999999996</v>
      </c>
      <c r="J347" s="257">
        <f t="shared" ref="J347:J354" si="60">TRUNC(H347*I347,2)</f>
        <v>329.54</v>
      </c>
      <c r="K347" s="172"/>
      <c r="L347" s="145">
        <f t="shared" si="53"/>
        <v>37</v>
      </c>
      <c r="M347" s="156" t="str">
        <f t="shared" si="54"/>
        <v/>
      </c>
      <c r="N347" s="157" t="str">
        <f t="shared" si="55"/>
        <v/>
      </c>
      <c r="O347" s="157" t="str">
        <f t="shared" si="56"/>
        <v/>
      </c>
      <c r="P347" s="158" t="str">
        <f t="shared" si="57"/>
        <v xml:space="preserve"> 94962 </v>
      </c>
      <c r="Q347" s="157">
        <f t="shared" si="58"/>
        <v>0</v>
      </c>
      <c r="R347" s="157">
        <f t="shared" si="59"/>
        <v>329.53999999999996</v>
      </c>
    </row>
    <row r="348" spans="1:18" ht="38.25" customHeight="1" x14ac:dyDescent="0.25">
      <c r="A348" s="272" t="s">
        <v>22</v>
      </c>
      <c r="B348" s="261" t="s">
        <v>100</v>
      </c>
      <c r="C348" s="272" t="s">
        <v>10</v>
      </c>
      <c r="D348" s="272" t="s">
        <v>360</v>
      </c>
      <c r="E348" s="363" t="s">
        <v>44</v>
      </c>
      <c r="F348" s="363"/>
      <c r="G348" s="260" t="s">
        <v>46</v>
      </c>
      <c r="H348" s="263">
        <v>0.71879999999999999</v>
      </c>
      <c r="I348" s="262">
        <f>SUMIFS(J:J,A:A,"Composição",B:B,$B348)</f>
        <v>0.28999999999999998</v>
      </c>
      <c r="J348" s="262">
        <f t="shared" si="60"/>
        <v>0.2</v>
      </c>
      <c r="K348" s="172"/>
      <c r="L348" s="145">
        <f t="shared" si="53"/>
        <v>37</v>
      </c>
      <c r="M348" s="156">
        <f t="shared" si="54"/>
        <v>0.2</v>
      </c>
      <c r="N348" s="157" t="str">
        <f t="shared" si="55"/>
        <v/>
      </c>
      <c r="O348" s="157">
        <f t="shared" si="56"/>
        <v>0.2</v>
      </c>
      <c r="P348" s="158" t="str">
        <f t="shared" si="57"/>
        <v/>
      </c>
      <c r="Q348" s="157" t="str">
        <f t="shared" si="58"/>
        <v/>
      </c>
      <c r="R348" s="157" t="str">
        <f t="shared" si="59"/>
        <v/>
      </c>
    </row>
    <row r="349" spans="1:18" ht="38.25" customHeight="1" x14ac:dyDescent="0.25">
      <c r="A349" s="272" t="s">
        <v>22</v>
      </c>
      <c r="B349" s="261" t="s">
        <v>99</v>
      </c>
      <c r="C349" s="272" t="s">
        <v>10</v>
      </c>
      <c r="D349" s="272" t="s">
        <v>359</v>
      </c>
      <c r="E349" s="363" t="s">
        <v>44</v>
      </c>
      <c r="F349" s="363"/>
      <c r="G349" s="260" t="s">
        <v>45</v>
      </c>
      <c r="H349" s="263">
        <v>0.76229999999999998</v>
      </c>
      <c r="I349" s="262">
        <f>SUMIFS(J:J,A:A,"Composição",B:B,$B349)</f>
        <v>1.35</v>
      </c>
      <c r="J349" s="262">
        <f t="shared" si="60"/>
        <v>1.02</v>
      </c>
      <c r="K349" s="172"/>
      <c r="L349" s="145">
        <f t="shared" si="53"/>
        <v>37</v>
      </c>
      <c r="M349" s="156">
        <f t="shared" si="54"/>
        <v>1.02</v>
      </c>
      <c r="N349" s="157" t="str">
        <f t="shared" si="55"/>
        <v/>
      </c>
      <c r="O349" s="157">
        <f t="shared" si="56"/>
        <v>1.02</v>
      </c>
      <c r="P349" s="158" t="str">
        <f t="shared" si="57"/>
        <v/>
      </c>
      <c r="Q349" s="157" t="str">
        <f t="shared" si="58"/>
        <v/>
      </c>
      <c r="R349" s="157" t="str">
        <f t="shared" si="59"/>
        <v/>
      </c>
    </row>
    <row r="350" spans="1:18" ht="14.25" customHeight="1" x14ac:dyDescent="0.25">
      <c r="A350" s="272" t="s">
        <v>22</v>
      </c>
      <c r="B350" s="261" t="s">
        <v>29</v>
      </c>
      <c r="C350" s="272" t="s">
        <v>10</v>
      </c>
      <c r="D350" s="272" t="s">
        <v>30</v>
      </c>
      <c r="E350" s="363" t="s">
        <v>27</v>
      </c>
      <c r="F350" s="363"/>
      <c r="G350" s="260" t="s">
        <v>28</v>
      </c>
      <c r="H350" s="263">
        <v>2.3433000000000002</v>
      </c>
      <c r="I350" s="262">
        <f>SUMIFS(J:J,A:A,"Composição",B:B,$B350)</f>
        <v>17.61</v>
      </c>
      <c r="J350" s="262">
        <f t="shared" si="60"/>
        <v>41.26</v>
      </c>
      <c r="K350" s="172"/>
      <c r="L350" s="145">
        <f t="shared" si="53"/>
        <v>37</v>
      </c>
      <c r="M350" s="156">
        <f t="shared" si="54"/>
        <v>41.26</v>
      </c>
      <c r="N350" s="157" t="str">
        <f t="shared" si="55"/>
        <v/>
      </c>
      <c r="O350" s="157">
        <f t="shared" si="56"/>
        <v>41.26</v>
      </c>
      <c r="P350" s="158" t="str">
        <f t="shared" si="57"/>
        <v/>
      </c>
      <c r="Q350" s="157" t="str">
        <f t="shared" si="58"/>
        <v/>
      </c>
      <c r="R350" s="157" t="str">
        <f t="shared" si="59"/>
        <v/>
      </c>
    </row>
    <row r="351" spans="1:18" ht="26.4" x14ac:dyDescent="0.25">
      <c r="A351" s="272" t="s">
        <v>22</v>
      </c>
      <c r="B351" s="261" t="s">
        <v>96</v>
      </c>
      <c r="C351" s="272" t="s">
        <v>10</v>
      </c>
      <c r="D351" s="272" t="s">
        <v>80</v>
      </c>
      <c r="E351" s="363" t="s">
        <v>27</v>
      </c>
      <c r="F351" s="363"/>
      <c r="G351" s="260" t="s">
        <v>28</v>
      </c>
      <c r="H351" s="263">
        <v>1.4811000000000001</v>
      </c>
      <c r="I351" s="262">
        <f>SUMIFS(J:J,A:A,"Composição",B:B,$B351)</f>
        <v>17.82</v>
      </c>
      <c r="J351" s="262">
        <f t="shared" si="60"/>
        <v>26.39</v>
      </c>
      <c r="K351" s="172"/>
      <c r="L351" s="145">
        <f t="shared" si="53"/>
        <v>37</v>
      </c>
      <c r="M351" s="156">
        <f t="shared" si="54"/>
        <v>26.39</v>
      </c>
      <c r="N351" s="157" t="str">
        <f t="shared" si="55"/>
        <v/>
      </c>
      <c r="O351" s="157">
        <f t="shared" si="56"/>
        <v>26.39</v>
      </c>
      <c r="P351" s="158" t="str">
        <f t="shared" si="57"/>
        <v/>
      </c>
      <c r="Q351" s="157" t="str">
        <f t="shared" si="58"/>
        <v/>
      </c>
      <c r="R351" s="157" t="str">
        <f t="shared" si="59"/>
        <v/>
      </c>
    </row>
    <row r="352" spans="1:18" ht="15" customHeight="1" x14ac:dyDescent="0.25">
      <c r="A352" s="273" t="s">
        <v>31</v>
      </c>
      <c r="B352" s="265" t="s">
        <v>97</v>
      </c>
      <c r="C352" s="273" t="str">
        <f>VLOOKUP(B352,INSUMOS!$A:$I,2,FALSE)</f>
        <v>SINAPI</v>
      </c>
      <c r="D352" s="273" t="str">
        <f>VLOOKUP(B352,INSUMOS!$A:$I,3,FALSE)</f>
        <v>AREIA MEDIA - POSTO JAZIDA/FORNECEDOR (RETIRADO NA JAZIDA, SEM TRANSPORTE)</v>
      </c>
      <c r="E352" s="361" t="str">
        <f>VLOOKUP(B352,INSUMOS!$A:$I,4,FALSE)</f>
        <v>Material</v>
      </c>
      <c r="F352" s="361"/>
      <c r="G352" s="264" t="str">
        <f>VLOOKUP(B352,INSUMOS!$A:$I,5,FALSE)</f>
        <v>m³</v>
      </c>
      <c r="H352" s="267">
        <v>0.82689999999999997</v>
      </c>
      <c r="I352" s="266">
        <f>VLOOKUP(B352,INSUMOS!$A:$I,8,FALSE)</f>
        <v>87.5</v>
      </c>
      <c r="J352" s="266">
        <f t="shared" si="60"/>
        <v>72.349999999999994</v>
      </c>
      <c r="K352" s="172"/>
      <c r="L352" s="145">
        <f t="shared" si="53"/>
        <v>37</v>
      </c>
      <c r="M352" s="156">
        <f t="shared" si="54"/>
        <v>72.349999999999994</v>
      </c>
      <c r="N352" s="157" t="str">
        <f t="shared" si="55"/>
        <v/>
      </c>
      <c r="O352" s="157">
        <f t="shared" si="56"/>
        <v>72.349999999999994</v>
      </c>
      <c r="P352" s="158" t="str">
        <f t="shared" si="57"/>
        <v/>
      </c>
      <c r="Q352" s="157" t="str">
        <f t="shared" si="58"/>
        <v/>
      </c>
      <c r="R352" s="157" t="str">
        <f t="shared" si="59"/>
        <v/>
      </c>
    </row>
    <row r="353" spans="1:18" ht="14.25" customHeight="1" x14ac:dyDescent="0.25">
      <c r="A353" s="273" t="s">
        <v>31</v>
      </c>
      <c r="B353" s="265" t="s">
        <v>98</v>
      </c>
      <c r="C353" s="273" t="str">
        <f>VLOOKUP(B353,INSUMOS!$A:$I,2,FALSE)</f>
        <v>SINAPI</v>
      </c>
      <c r="D353" s="273" t="str">
        <f>VLOOKUP(B353,INSUMOS!$A:$I,3,FALSE)</f>
        <v>CIMENTO PORTLAND COMPOSTO CP II-32</v>
      </c>
      <c r="E353" s="361" t="str">
        <f>VLOOKUP(B353,INSUMOS!$A:$I,4,FALSE)</f>
        <v>Material</v>
      </c>
      <c r="F353" s="361"/>
      <c r="G353" s="264" t="str">
        <f>VLOOKUP(B353,INSUMOS!$A:$I,5,FALSE)</f>
        <v>KG</v>
      </c>
      <c r="H353" s="267">
        <v>212.01939999999999</v>
      </c>
      <c r="I353" s="266">
        <f>VLOOKUP(B353,INSUMOS!$A:$I,8,FALSE)</f>
        <v>0.54</v>
      </c>
      <c r="J353" s="266">
        <f t="shared" si="60"/>
        <v>114.49</v>
      </c>
      <c r="K353" s="172"/>
      <c r="L353" s="145">
        <f t="shared" si="53"/>
        <v>37</v>
      </c>
      <c r="M353" s="156">
        <f t="shared" si="54"/>
        <v>114.49</v>
      </c>
      <c r="N353" s="157" t="str">
        <f t="shared" si="55"/>
        <v/>
      </c>
      <c r="O353" s="157">
        <f t="shared" si="56"/>
        <v>114.49</v>
      </c>
      <c r="P353" s="158" t="str">
        <f t="shared" si="57"/>
        <v/>
      </c>
      <c r="Q353" s="157" t="str">
        <f t="shared" si="58"/>
        <v/>
      </c>
      <c r="R353" s="157" t="str">
        <f t="shared" si="59"/>
        <v/>
      </c>
    </row>
    <row r="354" spans="1:18" ht="14.25" customHeight="1" x14ac:dyDescent="0.25">
      <c r="A354" s="273" t="s">
        <v>31</v>
      </c>
      <c r="B354" s="265" t="s">
        <v>111</v>
      </c>
      <c r="C354" s="273" t="str">
        <f>VLOOKUP(B354,INSUMOS!$A:$I,2,FALSE)</f>
        <v>SINAPI</v>
      </c>
      <c r="D354" s="273" t="str">
        <f>VLOOKUP(B354,INSUMOS!$A:$I,3,FALSE)</f>
        <v>PEDRA BRITADA N. 1 (9,5 a 19 MM) POSTO PEDREIRA/FORNECEDOR, SEM FRETE</v>
      </c>
      <c r="E354" s="361" t="str">
        <f>VLOOKUP(B354,INSUMOS!$A:$I,4,FALSE)</f>
        <v>Material</v>
      </c>
      <c r="F354" s="361"/>
      <c r="G354" s="264" t="str">
        <f>VLOOKUP(B354,INSUMOS!$A:$I,5,FALSE)</f>
        <v>m³</v>
      </c>
      <c r="H354" s="267">
        <v>0.57820000000000005</v>
      </c>
      <c r="I354" s="266">
        <f>VLOOKUP(B354,INSUMOS!$A:$I,8,FALSE)</f>
        <v>127.69</v>
      </c>
      <c r="J354" s="266">
        <f t="shared" si="60"/>
        <v>73.83</v>
      </c>
      <c r="K354" s="172"/>
      <c r="L354" s="145">
        <f t="shared" si="53"/>
        <v>37</v>
      </c>
      <c r="M354" s="156">
        <f t="shared" si="54"/>
        <v>73.83</v>
      </c>
      <c r="N354" s="157" t="str">
        <f t="shared" si="55"/>
        <v/>
      </c>
      <c r="O354" s="157">
        <f t="shared" si="56"/>
        <v>73.83</v>
      </c>
      <c r="P354" s="158" t="str">
        <f t="shared" si="57"/>
        <v/>
      </c>
      <c r="Q354" s="157" t="str">
        <f t="shared" si="58"/>
        <v/>
      </c>
      <c r="R354" s="157" t="str">
        <f t="shared" si="59"/>
        <v/>
      </c>
    </row>
    <row r="355" spans="1:18" ht="15" customHeight="1" x14ac:dyDescent="0.25">
      <c r="A355" s="274"/>
      <c r="B355" s="274"/>
      <c r="C355" s="274"/>
      <c r="D355" s="274"/>
      <c r="E355" s="274"/>
      <c r="F355" s="268"/>
      <c r="G355" s="274"/>
      <c r="H355" s="268"/>
      <c r="I355" s="274"/>
      <c r="J355" s="268"/>
      <c r="K355" s="172"/>
      <c r="L355" s="145">
        <f t="shared" si="53"/>
        <v>37</v>
      </c>
      <c r="M355" s="156" t="str">
        <f t="shared" si="54"/>
        <v/>
      </c>
      <c r="N355" s="157" t="str">
        <f t="shared" si="55"/>
        <v/>
      </c>
      <c r="O355" s="157" t="str">
        <f t="shared" si="56"/>
        <v/>
      </c>
      <c r="P355" s="158" t="str">
        <f t="shared" si="57"/>
        <v/>
      </c>
      <c r="Q355" s="157" t="str">
        <f t="shared" si="58"/>
        <v/>
      </c>
      <c r="R355" s="157" t="str">
        <f t="shared" si="59"/>
        <v/>
      </c>
    </row>
    <row r="356" spans="1:18" ht="14.25" customHeight="1" thickBot="1" x14ac:dyDescent="0.3">
      <c r="A356" s="274"/>
      <c r="B356" s="274"/>
      <c r="C356" s="274"/>
      <c r="D356" s="274"/>
      <c r="E356" s="274"/>
      <c r="F356" s="268"/>
      <c r="G356" s="274"/>
      <c r="H356" s="350"/>
      <c r="I356" s="350"/>
      <c r="J356" s="268"/>
      <c r="K356" s="172"/>
      <c r="L356" s="145">
        <f t="shared" si="53"/>
        <v>37</v>
      </c>
      <c r="M356" s="156" t="str">
        <f t="shared" si="54"/>
        <v/>
      </c>
      <c r="N356" s="157" t="str">
        <f t="shared" si="55"/>
        <v/>
      </c>
      <c r="O356" s="157" t="str">
        <f t="shared" si="56"/>
        <v/>
      </c>
      <c r="P356" s="158" t="str">
        <f t="shared" si="57"/>
        <v/>
      </c>
      <c r="Q356" s="157" t="str">
        <f t="shared" si="58"/>
        <v/>
      </c>
      <c r="R356" s="157" t="str">
        <f t="shared" si="59"/>
        <v/>
      </c>
    </row>
    <row r="357" spans="1:18" ht="14.4" thickTop="1" x14ac:dyDescent="0.25">
      <c r="A357" s="259"/>
      <c r="B357" s="259"/>
      <c r="C357" s="259"/>
      <c r="D357" s="259"/>
      <c r="E357" s="259"/>
      <c r="F357" s="259"/>
      <c r="G357" s="259"/>
      <c r="H357" s="259"/>
      <c r="I357" s="259"/>
      <c r="J357" s="259"/>
      <c r="K357" s="172"/>
      <c r="L357" s="145">
        <f t="shared" si="53"/>
        <v>37</v>
      </c>
      <c r="M357" s="156" t="str">
        <f t="shared" si="54"/>
        <v/>
      </c>
      <c r="N357" s="157" t="str">
        <f t="shared" si="55"/>
        <v/>
      </c>
      <c r="O357" s="157" t="str">
        <f t="shared" si="56"/>
        <v/>
      </c>
      <c r="P357" s="158" t="str">
        <f t="shared" si="57"/>
        <v/>
      </c>
      <c r="Q357" s="157" t="str">
        <f t="shared" si="58"/>
        <v/>
      </c>
      <c r="R357" s="157" t="str">
        <f t="shared" si="59"/>
        <v/>
      </c>
    </row>
    <row r="358" spans="1:18" x14ac:dyDescent="0.25">
      <c r="A358" s="270"/>
      <c r="B358" s="254" t="s">
        <v>1</v>
      </c>
      <c r="C358" s="270" t="s">
        <v>2</v>
      </c>
      <c r="D358" s="270" t="s">
        <v>3</v>
      </c>
      <c r="E358" s="347" t="s">
        <v>19</v>
      </c>
      <c r="F358" s="347"/>
      <c r="G358" s="253" t="s">
        <v>4</v>
      </c>
      <c r="H358" s="254" t="s">
        <v>5</v>
      </c>
      <c r="I358" s="254" t="s">
        <v>6</v>
      </c>
      <c r="J358" s="254" t="s">
        <v>7</v>
      </c>
      <c r="K358" s="172"/>
      <c r="L358" s="145">
        <f t="shared" si="53"/>
        <v>38</v>
      </c>
      <c r="M358" s="156" t="str">
        <f t="shared" si="54"/>
        <v/>
      </c>
      <c r="N358" s="157" t="str">
        <f t="shared" si="55"/>
        <v/>
      </c>
      <c r="O358" s="157" t="str">
        <f t="shared" si="56"/>
        <v/>
      </c>
      <c r="P358" s="158" t="str">
        <f t="shared" si="57"/>
        <v/>
      </c>
      <c r="Q358" s="157" t="str">
        <f t="shared" si="58"/>
        <v/>
      </c>
      <c r="R358" s="157" t="str">
        <f t="shared" si="59"/>
        <v/>
      </c>
    </row>
    <row r="359" spans="1:18" ht="38.25" customHeight="1" x14ac:dyDescent="0.25">
      <c r="A359" s="271" t="s">
        <v>20</v>
      </c>
      <c r="B359" s="256" t="s">
        <v>300</v>
      </c>
      <c r="C359" s="271" t="s">
        <v>10</v>
      </c>
      <c r="D359" s="271" t="s">
        <v>301</v>
      </c>
      <c r="E359" s="362" t="s">
        <v>27</v>
      </c>
      <c r="F359" s="362"/>
      <c r="G359" s="255" t="s">
        <v>28</v>
      </c>
      <c r="H359" s="258">
        <v>1</v>
      </c>
      <c r="I359" s="257">
        <f>SUMIF(L:L,$L359,M:M)</f>
        <v>0.32</v>
      </c>
      <c r="J359" s="257">
        <f>TRUNC(H359*I359,2)</f>
        <v>0.32</v>
      </c>
      <c r="K359" s="172"/>
      <c r="L359" s="145">
        <f t="shared" si="53"/>
        <v>38</v>
      </c>
      <c r="M359" s="156" t="str">
        <f t="shared" si="54"/>
        <v/>
      </c>
      <c r="N359" s="157" t="str">
        <f t="shared" si="55"/>
        <v/>
      </c>
      <c r="O359" s="157" t="str">
        <f t="shared" si="56"/>
        <v/>
      </c>
      <c r="P359" s="158" t="str">
        <f t="shared" si="57"/>
        <v xml:space="preserve"> 95316 </v>
      </c>
      <c r="Q359" s="157">
        <f t="shared" si="58"/>
        <v>0.32</v>
      </c>
      <c r="R359" s="157">
        <f t="shared" si="59"/>
        <v>0</v>
      </c>
    </row>
    <row r="360" spans="1:18" ht="38.25" customHeight="1" x14ac:dyDescent="0.25">
      <c r="A360" s="273" t="s">
        <v>31</v>
      </c>
      <c r="B360" s="265" t="s">
        <v>265</v>
      </c>
      <c r="C360" s="273" t="str">
        <f>VLOOKUP(B360,INSUMOS!$A:$I,2,FALSE)</f>
        <v>SINAPI</v>
      </c>
      <c r="D360" s="273" t="str">
        <f>VLOOKUP(B360,INSUMOS!$A:$I,3,FALSE)</f>
        <v>AJUDANTE DE ELETRICISTA</v>
      </c>
      <c r="E360" s="361" t="str">
        <f>VLOOKUP(B360,INSUMOS!$A:$I,4,FALSE)</f>
        <v>Mão de Obra</v>
      </c>
      <c r="F360" s="361"/>
      <c r="G360" s="264" t="str">
        <f>VLOOKUP(B360,INSUMOS!$A:$I,5,FALSE)</f>
        <v>H</v>
      </c>
      <c r="H360" s="267">
        <v>2.6599999999999999E-2</v>
      </c>
      <c r="I360" s="266">
        <f>VLOOKUP(B360,INSUMOS!$A:$I,8,FALSE)</f>
        <v>12.3</v>
      </c>
      <c r="J360" s="266">
        <f>TRUNC(H360*I360,2)</f>
        <v>0.32</v>
      </c>
      <c r="K360" s="172"/>
      <c r="L360" s="145">
        <f t="shared" si="53"/>
        <v>38</v>
      </c>
      <c r="M360" s="156">
        <f t="shared" si="54"/>
        <v>0.32</v>
      </c>
      <c r="N360" s="157">
        <f t="shared" si="55"/>
        <v>0.32</v>
      </c>
      <c r="O360" s="157" t="str">
        <f t="shared" si="56"/>
        <v/>
      </c>
      <c r="P360" s="158" t="str">
        <f t="shared" si="57"/>
        <v/>
      </c>
      <c r="Q360" s="157" t="str">
        <f t="shared" si="58"/>
        <v/>
      </c>
      <c r="R360" s="157" t="str">
        <f t="shared" si="59"/>
        <v/>
      </c>
    </row>
    <row r="361" spans="1:18" ht="25.5" customHeight="1" x14ac:dyDescent="0.25">
      <c r="A361" s="274"/>
      <c r="B361" s="274"/>
      <c r="C361" s="274"/>
      <c r="D361" s="274"/>
      <c r="E361" s="274"/>
      <c r="F361" s="268"/>
      <c r="G361" s="274"/>
      <c r="H361" s="268"/>
      <c r="I361" s="274"/>
      <c r="J361" s="268"/>
      <c r="K361" s="172"/>
      <c r="L361" s="145">
        <f t="shared" si="53"/>
        <v>38</v>
      </c>
      <c r="M361" s="156" t="str">
        <f t="shared" si="54"/>
        <v/>
      </c>
      <c r="N361" s="157" t="str">
        <f t="shared" si="55"/>
        <v/>
      </c>
      <c r="O361" s="157" t="str">
        <f t="shared" si="56"/>
        <v/>
      </c>
      <c r="P361" s="158" t="str">
        <f t="shared" si="57"/>
        <v/>
      </c>
      <c r="Q361" s="157" t="str">
        <f t="shared" si="58"/>
        <v/>
      </c>
      <c r="R361" s="157" t="str">
        <f t="shared" si="59"/>
        <v/>
      </c>
    </row>
    <row r="362" spans="1:18" ht="25.5" customHeight="1" thickBot="1" x14ac:dyDescent="0.3">
      <c r="A362" s="274"/>
      <c r="B362" s="274"/>
      <c r="C362" s="274"/>
      <c r="D362" s="274"/>
      <c r="E362" s="274"/>
      <c r="F362" s="268"/>
      <c r="G362" s="274"/>
      <c r="H362" s="350"/>
      <c r="I362" s="350"/>
      <c r="J362" s="268"/>
      <c r="K362" s="172"/>
      <c r="L362" s="145">
        <f t="shared" si="53"/>
        <v>38</v>
      </c>
      <c r="M362" s="156" t="str">
        <f t="shared" si="54"/>
        <v/>
      </c>
      <c r="N362" s="157" t="str">
        <f t="shared" si="55"/>
        <v/>
      </c>
      <c r="O362" s="157" t="str">
        <f t="shared" si="56"/>
        <v/>
      </c>
      <c r="P362" s="158" t="str">
        <f t="shared" si="57"/>
        <v/>
      </c>
      <c r="Q362" s="157" t="str">
        <f t="shared" si="58"/>
        <v/>
      </c>
      <c r="R362" s="157" t="str">
        <f t="shared" si="59"/>
        <v/>
      </c>
    </row>
    <row r="363" spans="1:18" ht="15" customHeight="1" thickTop="1" x14ac:dyDescent="0.25">
      <c r="A363" s="259"/>
      <c r="B363" s="259"/>
      <c r="C363" s="259"/>
      <c r="D363" s="259"/>
      <c r="E363" s="259"/>
      <c r="F363" s="259"/>
      <c r="G363" s="259"/>
      <c r="H363" s="259"/>
      <c r="I363" s="259"/>
      <c r="J363" s="259"/>
      <c r="K363" s="172"/>
      <c r="L363" s="145">
        <f t="shared" si="53"/>
        <v>38</v>
      </c>
      <c r="M363" s="156" t="str">
        <f t="shared" si="54"/>
        <v/>
      </c>
      <c r="N363" s="157" t="str">
        <f t="shared" si="55"/>
        <v/>
      </c>
      <c r="O363" s="157" t="str">
        <f t="shared" si="56"/>
        <v/>
      </c>
      <c r="P363" s="158" t="str">
        <f t="shared" si="57"/>
        <v/>
      </c>
      <c r="Q363" s="157" t="str">
        <f t="shared" si="58"/>
        <v/>
      </c>
      <c r="R363" s="157" t="str">
        <f t="shared" si="59"/>
        <v/>
      </c>
    </row>
    <row r="364" spans="1:18" x14ac:dyDescent="0.25">
      <c r="A364" s="270"/>
      <c r="B364" s="254" t="s">
        <v>1</v>
      </c>
      <c r="C364" s="270" t="s">
        <v>2</v>
      </c>
      <c r="D364" s="270" t="s">
        <v>3</v>
      </c>
      <c r="E364" s="347" t="s">
        <v>19</v>
      </c>
      <c r="F364" s="347"/>
      <c r="G364" s="253" t="s">
        <v>4</v>
      </c>
      <c r="H364" s="254" t="s">
        <v>5</v>
      </c>
      <c r="I364" s="254" t="s">
        <v>6</v>
      </c>
      <c r="J364" s="254" t="s">
        <v>7</v>
      </c>
      <c r="K364" s="172"/>
      <c r="L364" s="145">
        <f t="shared" si="53"/>
        <v>39</v>
      </c>
      <c r="M364" s="156" t="str">
        <f t="shared" si="54"/>
        <v/>
      </c>
      <c r="N364" s="157" t="str">
        <f t="shared" si="55"/>
        <v/>
      </c>
      <c r="O364" s="157" t="str">
        <f t="shared" si="56"/>
        <v/>
      </c>
      <c r="P364" s="158" t="str">
        <f t="shared" si="57"/>
        <v/>
      </c>
      <c r="Q364" s="157" t="str">
        <f t="shared" si="58"/>
        <v/>
      </c>
      <c r="R364" s="157" t="str">
        <f t="shared" si="59"/>
        <v/>
      </c>
    </row>
    <row r="365" spans="1:18" ht="25.5" customHeight="1" x14ac:dyDescent="0.25">
      <c r="A365" s="271" t="s">
        <v>20</v>
      </c>
      <c r="B365" s="256" t="s">
        <v>304</v>
      </c>
      <c r="C365" s="271" t="s">
        <v>10</v>
      </c>
      <c r="D365" s="271" t="s">
        <v>305</v>
      </c>
      <c r="E365" s="362" t="s">
        <v>27</v>
      </c>
      <c r="F365" s="362"/>
      <c r="G365" s="255" t="s">
        <v>28</v>
      </c>
      <c r="H365" s="258">
        <v>1</v>
      </c>
      <c r="I365" s="257">
        <f>SUMIF(L:L,$L365,M:M)</f>
        <v>0.15</v>
      </c>
      <c r="J365" s="257">
        <f>TRUNC(H365*I365,2)</f>
        <v>0.15</v>
      </c>
      <c r="K365" s="172"/>
      <c r="L365" s="145">
        <f t="shared" si="53"/>
        <v>39</v>
      </c>
      <c r="M365" s="156" t="str">
        <f t="shared" si="54"/>
        <v/>
      </c>
      <c r="N365" s="157" t="str">
        <f t="shared" si="55"/>
        <v/>
      </c>
      <c r="O365" s="157" t="str">
        <f t="shared" si="56"/>
        <v/>
      </c>
      <c r="P365" s="158" t="str">
        <f t="shared" si="57"/>
        <v xml:space="preserve"> 95317 </v>
      </c>
      <c r="Q365" s="157">
        <f t="shared" si="58"/>
        <v>0.15</v>
      </c>
      <c r="R365" s="157">
        <f t="shared" si="59"/>
        <v>0</v>
      </c>
    </row>
    <row r="366" spans="1:18" ht="25.5" customHeight="1" x14ac:dyDescent="0.25">
      <c r="A366" s="273" t="s">
        <v>31</v>
      </c>
      <c r="B366" s="265" t="s">
        <v>267</v>
      </c>
      <c r="C366" s="273" t="str">
        <f>VLOOKUP(B366,INSUMOS!$A:$I,2,FALSE)</f>
        <v>SINAPI</v>
      </c>
      <c r="D366" s="273" t="str">
        <f>VLOOKUP(B366,INSUMOS!$A:$I,3,FALSE)</f>
        <v>AUXILIAR DE ENCANADOR OU BOMBEIRO HIDRAULICO</v>
      </c>
      <c r="E366" s="361" t="str">
        <f>VLOOKUP(B366,INSUMOS!$A:$I,4,FALSE)</f>
        <v>Mão de Obra</v>
      </c>
      <c r="F366" s="361"/>
      <c r="G366" s="264" t="str">
        <f>VLOOKUP(B366,INSUMOS!$A:$I,5,FALSE)</f>
        <v>H</v>
      </c>
      <c r="H366" s="267">
        <v>1.2800000000000001E-2</v>
      </c>
      <c r="I366" s="266">
        <f>VLOOKUP(B366,INSUMOS!$A:$I,8,FALSE)</f>
        <v>12.41</v>
      </c>
      <c r="J366" s="266">
        <f>TRUNC(H366*I366,2)</f>
        <v>0.15</v>
      </c>
      <c r="K366" s="172"/>
      <c r="L366" s="145">
        <f t="shared" si="53"/>
        <v>39</v>
      </c>
      <c r="M366" s="156">
        <f t="shared" si="54"/>
        <v>0.15</v>
      </c>
      <c r="N366" s="157">
        <f t="shared" si="55"/>
        <v>0.15</v>
      </c>
      <c r="O366" s="157" t="str">
        <f t="shared" si="56"/>
        <v/>
      </c>
      <c r="P366" s="158" t="str">
        <f t="shared" si="57"/>
        <v/>
      </c>
      <c r="Q366" s="157" t="str">
        <f t="shared" si="58"/>
        <v/>
      </c>
      <c r="R366" s="157" t="str">
        <f t="shared" si="59"/>
        <v/>
      </c>
    </row>
    <row r="367" spans="1:18" ht="15" customHeight="1" x14ac:dyDescent="0.25">
      <c r="A367" s="274"/>
      <c r="B367" s="274"/>
      <c r="C367" s="274"/>
      <c r="D367" s="274"/>
      <c r="E367" s="274"/>
      <c r="F367" s="268"/>
      <c r="G367" s="274"/>
      <c r="H367" s="268"/>
      <c r="I367" s="274"/>
      <c r="J367" s="268"/>
      <c r="K367" s="172"/>
      <c r="L367" s="145">
        <f t="shared" si="53"/>
        <v>39</v>
      </c>
      <c r="M367" s="156" t="str">
        <f t="shared" si="54"/>
        <v/>
      </c>
      <c r="N367" s="157" t="str">
        <f t="shared" si="55"/>
        <v/>
      </c>
      <c r="O367" s="157" t="str">
        <f t="shared" si="56"/>
        <v/>
      </c>
      <c r="P367" s="158" t="str">
        <f t="shared" si="57"/>
        <v/>
      </c>
      <c r="Q367" s="157" t="str">
        <f t="shared" si="58"/>
        <v/>
      </c>
      <c r="R367" s="157" t="str">
        <f t="shared" si="59"/>
        <v/>
      </c>
    </row>
    <row r="368" spans="1:18" ht="39.6" customHeight="1" thickBot="1" x14ac:dyDescent="0.3">
      <c r="A368" s="274"/>
      <c r="B368" s="274"/>
      <c r="C368" s="274"/>
      <c r="D368" s="274"/>
      <c r="E368" s="274"/>
      <c r="F368" s="268"/>
      <c r="G368" s="274"/>
      <c r="H368" s="350"/>
      <c r="I368" s="350"/>
      <c r="J368" s="268"/>
      <c r="K368" s="172"/>
      <c r="L368" s="145">
        <f t="shared" si="53"/>
        <v>39</v>
      </c>
      <c r="M368" s="156" t="str">
        <f t="shared" si="54"/>
        <v/>
      </c>
      <c r="N368" s="157" t="str">
        <f t="shared" si="55"/>
        <v/>
      </c>
      <c r="O368" s="157" t="str">
        <f t="shared" si="56"/>
        <v/>
      </c>
      <c r="P368" s="158" t="str">
        <f t="shared" si="57"/>
        <v/>
      </c>
      <c r="Q368" s="157" t="str">
        <f t="shared" si="58"/>
        <v/>
      </c>
      <c r="R368" s="157" t="str">
        <f t="shared" si="59"/>
        <v/>
      </c>
    </row>
    <row r="369" spans="1:18" ht="25.5" customHeight="1" thickTop="1" x14ac:dyDescent="0.25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172"/>
      <c r="L369" s="145">
        <f t="shared" si="53"/>
        <v>39</v>
      </c>
      <c r="M369" s="156" t="str">
        <f t="shared" si="54"/>
        <v/>
      </c>
      <c r="N369" s="157" t="str">
        <f t="shared" si="55"/>
        <v/>
      </c>
      <c r="O369" s="157" t="str">
        <f t="shared" si="56"/>
        <v/>
      </c>
      <c r="P369" s="158" t="str">
        <f t="shared" si="57"/>
        <v/>
      </c>
      <c r="Q369" s="157" t="str">
        <f t="shared" si="58"/>
        <v/>
      </c>
      <c r="R369" s="157" t="str">
        <f t="shared" si="59"/>
        <v/>
      </c>
    </row>
    <row r="370" spans="1:18" ht="38.25" customHeight="1" x14ac:dyDescent="0.25">
      <c r="A370" s="270"/>
      <c r="B370" s="254" t="s">
        <v>1</v>
      </c>
      <c r="C370" s="270" t="s">
        <v>2</v>
      </c>
      <c r="D370" s="270" t="s">
        <v>3</v>
      </c>
      <c r="E370" s="347" t="s">
        <v>19</v>
      </c>
      <c r="F370" s="347"/>
      <c r="G370" s="253" t="s">
        <v>4</v>
      </c>
      <c r="H370" s="254" t="s">
        <v>5</v>
      </c>
      <c r="I370" s="254" t="s">
        <v>6</v>
      </c>
      <c r="J370" s="254" t="s">
        <v>7</v>
      </c>
      <c r="K370" s="172"/>
      <c r="L370" s="145">
        <f t="shared" si="53"/>
        <v>40</v>
      </c>
      <c r="M370" s="156" t="str">
        <f t="shared" si="54"/>
        <v/>
      </c>
      <c r="N370" s="157" t="str">
        <f t="shared" si="55"/>
        <v/>
      </c>
      <c r="O370" s="157" t="str">
        <f t="shared" si="56"/>
        <v/>
      </c>
      <c r="P370" s="158" t="str">
        <f t="shared" si="57"/>
        <v/>
      </c>
      <c r="Q370" s="157" t="str">
        <f t="shared" si="58"/>
        <v/>
      </c>
      <c r="R370" s="157" t="str">
        <f t="shared" si="59"/>
        <v/>
      </c>
    </row>
    <row r="371" spans="1:18" ht="25.5" customHeight="1" x14ac:dyDescent="0.25">
      <c r="A371" s="271" t="s">
        <v>20</v>
      </c>
      <c r="B371" s="256" t="s">
        <v>109</v>
      </c>
      <c r="C371" s="271" t="s">
        <v>10</v>
      </c>
      <c r="D371" s="271" t="s">
        <v>81</v>
      </c>
      <c r="E371" s="362" t="s">
        <v>27</v>
      </c>
      <c r="F371" s="362"/>
      <c r="G371" s="255" t="s">
        <v>28</v>
      </c>
      <c r="H371" s="258">
        <v>1</v>
      </c>
      <c r="I371" s="257">
        <f>SUMIF(L:L,$L371,M:M)</f>
        <v>0.14000000000000001</v>
      </c>
      <c r="J371" s="257">
        <f>TRUNC(H371*I371,2)</f>
        <v>0.14000000000000001</v>
      </c>
      <c r="K371" s="172"/>
      <c r="L371" s="145">
        <f t="shared" si="53"/>
        <v>40</v>
      </c>
      <c r="M371" s="156" t="str">
        <f t="shared" si="54"/>
        <v/>
      </c>
      <c r="N371" s="157" t="str">
        <f t="shared" si="55"/>
        <v/>
      </c>
      <c r="O371" s="157" t="str">
        <f t="shared" si="56"/>
        <v/>
      </c>
      <c r="P371" s="158" t="str">
        <f t="shared" si="57"/>
        <v xml:space="preserve"> 95330 </v>
      </c>
      <c r="Q371" s="157">
        <f t="shared" si="58"/>
        <v>0.14000000000000001</v>
      </c>
      <c r="R371" s="157">
        <f t="shared" si="59"/>
        <v>0</v>
      </c>
    </row>
    <row r="372" spans="1:18" ht="25.5" customHeight="1" x14ac:dyDescent="0.25">
      <c r="A372" s="273" t="s">
        <v>31</v>
      </c>
      <c r="B372" s="265" t="s">
        <v>110</v>
      </c>
      <c r="C372" s="273" t="str">
        <f>VLOOKUP(B372,INSUMOS!$A:$I,2,FALSE)</f>
        <v>SINAPI</v>
      </c>
      <c r="D372" s="273" t="str">
        <f>VLOOKUP(B372,INSUMOS!$A:$I,3,FALSE)</f>
        <v>CARPINTEIRO DE FORMAS</v>
      </c>
      <c r="E372" s="361" t="str">
        <f>VLOOKUP(B372,INSUMOS!$A:$I,4,FALSE)</f>
        <v>Mão de Obra</v>
      </c>
      <c r="F372" s="361"/>
      <c r="G372" s="264" t="str">
        <f>VLOOKUP(B372,INSUMOS!$A:$I,5,FALSE)</f>
        <v>H</v>
      </c>
      <c r="H372" s="267">
        <v>8.2000000000000007E-3</v>
      </c>
      <c r="I372" s="266">
        <f>VLOOKUP(B372,INSUMOS!$A:$I,8,FALSE)</f>
        <v>17.52</v>
      </c>
      <c r="J372" s="266">
        <f>TRUNC(H372*I372,2)</f>
        <v>0.14000000000000001</v>
      </c>
      <c r="K372" s="172"/>
      <c r="L372" s="145">
        <f t="shared" si="53"/>
        <v>40</v>
      </c>
      <c r="M372" s="156">
        <f t="shared" si="54"/>
        <v>0.14000000000000001</v>
      </c>
      <c r="N372" s="157">
        <f t="shared" si="55"/>
        <v>0.14000000000000001</v>
      </c>
      <c r="O372" s="157" t="str">
        <f t="shared" si="56"/>
        <v/>
      </c>
      <c r="P372" s="158" t="str">
        <f t="shared" si="57"/>
        <v/>
      </c>
      <c r="Q372" s="157" t="str">
        <f t="shared" si="58"/>
        <v/>
      </c>
      <c r="R372" s="157" t="str">
        <f t="shared" si="59"/>
        <v/>
      </c>
    </row>
    <row r="373" spans="1:18" ht="25.5" customHeight="1" x14ac:dyDescent="0.25">
      <c r="A373" s="274"/>
      <c r="B373" s="274"/>
      <c r="C373" s="274"/>
      <c r="D373" s="274"/>
      <c r="E373" s="274"/>
      <c r="F373" s="268"/>
      <c r="G373" s="274"/>
      <c r="H373" s="268"/>
      <c r="I373" s="274"/>
      <c r="J373" s="268"/>
      <c r="K373" s="172"/>
      <c r="L373" s="145">
        <f t="shared" si="53"/>
        <v>40</v>
      </c>
      <c r="M373" s="156" t="str">
        <f t="shared" si="54"/>
        <v/>
      </c>
      <c r="N373" s="157" t="str">
        <f t="shared" si="55"/>
        <v/>
      </c>
      <c r="O373" s="157" t="str">
        <f t="shared" si="56"/>
        <v/>
      </c>
      <c r="P373" s="158" t="str">
        <f t="shared" si="57"/>
        <v/>
      </c>
      <c r="Q373" s="157" t="str">
        <f t="shared" si="58"/>
        <v/>
      </c>
      <c r="R373" s="157" t="str">
        <f t="shared" si="59"/>
        <v/>
      </c>
    </row>
    <row r="374" spans="1:18" ht="14.4" thickBot="1" x14ac:dyDescent="0.3">
      <c r="A374" s="274"/>
      <c r="B374" s="274"/>
      <c r="C374" s="274"/>
      <c r="D374" s="274"/>
      <c r="E374" s="274"/>
      <c r="F374" s="268"/>
      <c r="G374" s="274"/>
      <c r="H374" s="350"/>
      <c r="I374" s="350"/>
      <c r="J374" s="268"/>
      <c r="K374" s="172"/>
      <c r="L374" s="145">
        <f t="shared" si="53"/>
        <v>40</v>
      </c>
      <c r="M374" s="156" t="str">
        <f t="shared" si="54"/>
        <v/>
      </c>
      <c r="N374" s="157" t="str">
        <f t="shared" si="55"/>
        <v/>
      </c>
      <c r="O374" s="157" t="str">
        <f t="shared" si="56"/>
        <v/>
      </c>
      <c r="P374" s="158" t="str">
        <f t="shared" si="57"/>
        <v/>
      </c>
      <c r="Q374" s="157" t="str">
        <f t="shared" si="58"/>
        <v/>
      </c>
      <c r="R374" s="157" t="str">
        <f t="shared" si="59"/>
        <v/>
      </c>
    </row>
    <row r="375" spans="1:18" ht="15" customHeight="1" thickTop="1" x14ac:dyDescent="0.25">
      <c r="A375" s="259"/>
      <c r="B375" s="259"/>
      <c r="C375" s="259"/>
      <c r="D375" s="259"/>
      <c r="E375" s="259"/>
      <c r="F375" s="259"/>
      <c r="G375" s="259"/>
      <c r="H375" s="259"/>
      <c r="I375" s="259"/>
      <c r="J375" s="259"/>
      <c r="K375" s="172"/>
      <c r="L375" s="145">
        <f t="shared" si="53"/>
        <v>40</v>
      </c>
      <c r="M375" s="156" t="str">
        <f t="shared" si="54"/>
        <v/>
      </c>
      <c r="N375" s="157" t="str">
        <f t="shared" si="55"/>
        <v/>
      </c>
      <c r="O375" s="157" t="str">
        <f t="shared" si="56"/>
        <v/>
      </c>
      <c r="P375" s="158" t="str">
        <f t="shared" si="57"/>
        <v/>
      </c>
      <c r="Q375" s="157" t="str">
        <f t="shared" si="58"/>
        <v/>
      </c>
      <c r="R375" s="157" t="str">
        <f t="shared" si="59"/>
        <v/>
      </c>
    </row>
    <row r="376" spans="1:18" x14ac:dyDescent="0.25">
      <c r="A376" s="270"/>
      <c r="B376" s="254" t="s">
        <v>1</v>
      </c>
      <c r="C376" s="270" t="s">
        <v>2</v>
      </c>
      <c r="D376" s="270" t="s">
        <v>3</v>
      </c>
      <c r="E376" s="347" t="s">
        <v>19</v>
      </c>
      <c r="F376" s="347"/>
      <c r="G376" s="253" t="s">
        <v>4</v>
      </c>
      <c r="H376" s="254" t="s">
        <v>5</v>
      </c>
      <c r="I376" s="254" t="s">
        <v>6</v>
      </c>
      <c r="J376" s="254" t="s">
        <v>7</v>
      </c>
      <c r="K376" s="172"/>
      <c r="L376" s="145">
        <f t="shared" si="53"/>
        <v>41</v>
      </c>
      <c r="M376" s="156" t="str">
        <f t="shared" si="54"/>
        <v/>
      </c>
      <c r="N376" s="157" t="str">
        <f t="shared" si="55"/>
        <v/>
      </c>
      <c r="O376" s="157" t="str">
        <f t="shared" si="56"/>
        <v/>
      </c>
      <c r="P376" s="158" t="str">
        <f t="shared" si="57"/>
        <v/>
      </c>
      <c r="Q376" s="157" t="str">
        <f t="shared" si="58"/>
        <v/>
      </c>
      <c r="R376" s="157" t="str">
        <f t="shared" si="59"/>
        <v/>
      </c>
    </row>
    <row r="377" spans="1:18" ht="26.4" x14ac:dyDescent="0.25">
      <c r="A377" s="271" t="s">
        <v>20</v>
      </c>
      <c r="B377" s="256" t="s">
        <v>726</v>
      </c>
      <c r="C377" s="271" t="s">
        <v>10</v>
      </c>
      <c r="D377" s="271" t="s">
        <v>727</v>
      </c>
      <c r="E377" s="362" t="s">
        <v>27</v>
      </c>
      <c r="F377" s="362"/>
      <c r="G377" s="255" t="s">
        <v>28</v>
      </c>
      <c r="H377" s="258">
        <v>1</v>
      </c>
      <c r="I377" s="257">
        <f>SUMIF(L:L,$L377,M:M)</f>
        <v>0.08</v>
      </c>
      <c r="J377" s="257">
        <f>TRUNC(H377*I377,2)</f>
        <v>0.08</v>
      </c>
      <c r="K377" s="172"/>
      <c r="L377" s="145">
        <f t="shared" si="53"/>
        <v>41</v>
      </c>
      <c r="M377" s="156" t="str">
        <f t="shared" si="54"/>
        <v/>
      </c>
      <c r="N377" s="157" t="str">
        <f t="shared" si="55"/>
        <v/>
      </c>
      <c r="O377" s="157" t="str">
        <f t="shared" si="56"/>
        <v/>
      </c>
      <c r="P377" s="158" t="str">
        <f t="shared" si="57"/>
        <v xml:space="preserve"> 95400 </v>
      </c>
      <c r="Q377" s="157">
        <f t="shared" si="58"/>
        <v>0.08</v>
      </c>
      <c r="R377" s="157">
        <f t="shared" si="59"/>
        <v>0</v>
      </c>
    </row>
    <row r="378" spans="1:18" ht="25.5" customHeight="1" x14ac:dyDescent="0.25">
      <c r="A378" s="273" t="s">
        <v>31</v>
      </c>
      <c r="B378" s="265" t="s">
        <v>447</v>
      </c>
      <c r="C378" s="273" t="str">
        <f>VLOOKUP(B378,INSUMOS!$A:$I,2,FALSE)</f>
        <v>SINAPI</v>
      </c>
      <c r="D378" s="273" t="str">
        <f>VLOOKUP(B378,INSUMOS!$A:$I,3,FALSE)</f>
        <v>DESENHISTA PROJETISTA</v>
      </c>
      <c r="E378" s="361" t="str">
        <f>VLOOKUP(B378,INSUMOS!$A:$I,4,FALSE)</f>
        <v>Mão de Obra</v>
      </c>
      <c r="F378" s="361"/>
      <c r="G378" s="264" t="str">
        <f>VLOOKUP(B378,INSUMOS!$A:$I,5,FALSE)</f>
        <v>H</v>
      </c>
      <c r="H378" s="267">
        <v>3.5999999999999999E-3</v>
      </c>
      <c r="I378" s="266">
        <f>VLOOKUP(B378,INSUMOS!$A:$I,8,FALSE)</f>
        <v>24.91</v>
      </c>
      <c r="J378" s="266">
        <f>TRUNC(H378*I378,2)</f>
        <v>0.08</v>
      </c>
      <c r="K378" s="172"/>
      <c r="L378" s="145">
        <f t="shared" si="53"/>
        <v>41</v>
      </c>
      <c r="M378" s="156">
        <f t="shared" si="54"/>
        <v>0.08</v>
      </c>
      <c r="N378" s="157">
        <f t="shared" si="55"/>
        <v>0.08</v>
      </c>
      <c r="O378" s="157" t="str">
        <f t="shared" si="56"/>
        <v/>
      </c>
      <c r="P378" s="158" t="str">
        <f t="shared" si="57"/>
        <v/>
      </c>
      <c r="Q378" s="157" t="str">
        <f t="shared" si="58"/>
        <v/>
      </c>
      <c r="R378" s="157" t="str">
        <f t="shared" si="59"/>
        <v/>
      </c>
    </row>
    <row r="379" spans="1:18" ht="15" customHeight="1" x14ac:dyDescent="0.25">
      <c r="A379" s="274"/>
      <c r="B379" s="274"/>
      <c r="C379" s="274"/>
      <c r="D379" s="274"/>
      <c r="E379" s="274"/>
      <c r="F379" s="268"/>
      <c r="G379" s="274"/>
      <c r="H379" s="268"/>
      <c r="I379" s="274"/>
      <c r="J379" s="268"/>
      <c r="K379" s="172"/>
      <c r="L379" s="145">
        <f t="shared" si="53"/>
        <v>41</v>
      </c>
      <c r="M379" s="156" t="str">
        <f t="shared" si="54"/>
        <v/>
      </c>
      <c r="N379" s="157" t="str">
        <f t="shared" si="55"/>
        <v/>
      </c>
      <c r="O379" s="157" t="str">
        <f t="shared" si="56"/>
        <v/>
      </c>
      <c r="P379" s="158" t="str">
        <f t="shared" si="57"/>
        <v/>
      </c>
      <c r="Q379" s="157" t="str">
        <f t="shared" si="58"/>
        <v/>
      </c>
      <c r="R379" s="157" t="str">
        <f t="shared" si="59"/>
        <v/>
      </c>
    </row>
    <row r="380" spans="1:18" ht="14.25" customHeight="1" thickBot="1" x14ac:dyDescent="0.3">
      <c r="A380" s="274"/>
      <c r="B380" s="274"/>
      <c r="C380" s="274"/>
      <c r="D380" s="274"/>
      <c r="E380" s="274"/>
      <c r="F380" s="268"/>
      <c r="G380" s="274"/>
      <c r="H380" s="350"/>
      <c r="I380" s="350"/>
      <c r="J380" s="268"/>
      <c r="K380" s="172"/>
      <c r="L380" s="145">
        <f t="shared" si="53"/>
        <v>41</v>
      </c>
      <c r="M380" s="156" t="str">
        <f t="shared" si="54"/>
        <v/>
      </c>
      <c r="N380" s="157" t="str">
        <f t="shared" si="55"/>
        <v/>
      </c>
      <c r="O380" s="157" t="str">
        <f t="shared" si="56"/>
        <v/>
      </c>
      <c r="P380" s="158" t="str">
        <f t="shared" si="57"/>
        <v/>
      </c>
      <c r="Q380" s="157" t="str">
        <f t="shared" si="58"/>
        <v/>
      </c>
      <c r="R380" s="157" t="str">
        <f t="shared" si="59"/>
        <v/>
      </c>
    </row>
    <row r="381" spans="1:18" ht="26.4" customHeight="1" thickTop="1" x14ac:dyDescent="0.25">
      <c r="A381" s="259"/>
      <c r="B381" s="259"/>
      <c r="C381" s="259"/>
      <c r="D381" s="259"/>
      <c r="E381" s="259"/>
      <c r="F381" s="259"/>
      <c r="G381" s="259"/>
      <c r="H381" s="259"/>
      <c r="I381" s="259"/>
      <c r="J381" s="259"/>
      <c r="K381" s="172"/>
      <c r="L381" s="145">
        <f t="shared" si="53"/>
        <v>41</v>
      </c>
      <c r="M381" s="156" t="str">
        <f t="shared" si="54"/>
        <v/>
      </c>
      <c r="N381" s="157" t="str">
        <f t="shared" si="55"/>
        <v/>
      </c>
      <c r="O381" s="157" t="str">
        <f t="shared" si="56"/>
        <v/>
      </c>
      <c r="P381" s="158" t="str">
        <f t="shared" si="57"/>
        <v/>
      </c>
      <c r="Q381" s="157" t="str">
        <f t="shared" si="58"/>
        <v/>
      </c>
      <c r="R381" s="157" t="str">
        <f t="shared" si="59"/>
        <v/>
      </c>
    </row>
    <row r="382" spans="1:18" x14ac:dyDescent="0.25">
      <c r="A382" s="270"/>
      <c r="B382" s="254" t="s">
        <v>1</v>
      </c>
      <c r="C382" s="270" t="s">
        <v>2</v>
      </c>
      <c r="D382" s="270" t="s">
        <v>3</v>
      </c>
      <c r="E382" s="347" t="s">
        <v>19</v>
      </c>
      <c r="F382" s="347"/>
      <c r="G382" s="253" t="s">
        <v>4</v>
      </c>
      <c r="H382" s="254" t="s">
        <v>5</v>
      </c>
      <c r="I382" s="254" t="s">
        <v>6</v>
      </c>
      <c r="J382" s="254" t="s">
        <v>7</v>
      </c>
      <c r="K382" s="172"/>
      <c r="L382" s="145">
        <f t="shared" si="53"/>
        <v>42</v>
      </c>
      <c r="M382" s="156" t="str">
        <f t="shared" si="54"/>
        <v/>
      </c>
      <c r="N382" s="157" t="str">
        <f t="shared" si="55"/>
        <v/>
      </c>
      <c r="O382" s="157" t="str">
        <f t="shared" si="56"/>
        <v/>
      </c>
      <c r="P382" s="158" t="str">
        <f t="shared" si="57"/>
        <v/>
      </c>
      <c r="Q382" s="157" t="str">
        <f t="shared" si="58"/>
        <v/>
      </c>
      <c r="R382" s="157" t="str">
        <f t="shared" si="59"/>
        <v/>
      </c>
    </row>
    <row r="383" spans="1:18" ht="15" customHeight="1" x14ac:dyDescent="0.25">
      <c r="A383" s="271" t="s">
        <v>20</v>
      </c>
      <c r="B383" s="256" t="s">
        <v>309</v>
      </c>
      <c r="C383" s="271" t="s">
        <v>10</v>
      </c>
      <c r="D383" s="271" t="s">
        <v>310</v>
      </c>
      <c r="E383" s="362" t="s">
        <v>27</v>
      </c>
      <c r="F383" s="362"/>
      <c r="G383" s="255" t="s">
        <v>28</v>
      </c>
      <c r="H383" s="258">
        <v>1</v>
      </c>
      <c r="I383" s="257">
        <f>SUMIF(L:L,$L383,M:M)</f>
        <v>0.46</v>
      </c>
      <c r="J383" s="257">
        <f>TRUNC(H383*I383,2)</f>
        <v>0.46</v>
      </c>
      <c r="K383" s="172"/>
      <c r="L383" s="145">
        <f t="shared" si="53"/>
        <v>42</v>
      </c>
      <c r="M383" s="156" t="str">
        <f t="shared" si="54"/>
        <v/>
      </c>
      <c r="N383" s="157" t="str">
        <f t="shared" si="55"/>
        <v/>
      </c>
      <c r="O383" s="157" t="str">
        <f t="shared" si="56"/>
        <v/>
      </c>
      <c r="P383" s="158" t="str">
        <f t="shared" si="57"/>
        <v xml:space="preserve"> 95332 </v>
      </c>
      <c r="Q383" s="157">
        <f t="shared" si="58"/>
        <v>0.46</v>
      </c>
      <c r="R383" s="157">
        <f t="shared" si="59"/>
        <v>0</v>
      </c>
    </row>
    <row r="384" spans="1:18" x14ac:dyDescent="0.25">
      <c r="A384" s="273" t="s">
        <v>31</v>
      </c>
      <c r="B384" s="265" t="s">
        <v>261</v>
      </c>
      <c r="C384" s="273" t="str">
        <f>VLOOKUP(B384,INSUMOS!$A:$I,2,FALSE)</f>
        <v>SINAPI</v>
      </c>
      <c r="D384" s="273" t="str">
        <f>VLOOKUP(B384,INSUMOS!$A:$I,3,FALSE)</f>
        <v>ELETRICISTA</v>
      </c>
      <c r="E384" s="361" t="str">
        <f>VLOOKUP(B384,INSUMOS!$A:$I,4,FALSE)</f>
        <v>Mão de Obra</v>
      </c>
      <c r="F384" s="361"/>
      <c r="G384" s="264" t="str">
        <f>VLOOKUP(B384,INSUMOS!$A:$I,5,FALSE)</f>
        <v>H</v>
      </c>
      <c r="H384" s="267">
        <v>2.6599999999999999E-2</v>
      </c>
      <c r="I384" s="266">
        <f>VLOOKUP(B384,INSUMOS!$A:$I,8,FALSE)</f>
        <v>17.52</v>
      </c>
      <c r="J384" s="266">
        <f>TRUNC(H384*I384,2)</f>
        <v>0.46</v>
      </c>
      <c r="K384" s="172"/>
      <c r="L384" s="145">
        <f t="shared" si="53"/>
        <v>42</v>
      </c>
      <c r="M384" s="156">
        <f t="shared" si="54"/>
        <v>0.46</v>
      </c>
      <c r="N384" s="157">
        <f t="shared" si="55"/>
        <v>0.46</v>
      </c>
      <c r="O384" s="157" t="str">
        <f t="shared" si="56"/>
        <v/>
      </c>
      <c r="P384" s="158" t="str">
        <f t="shared" si="57"/>
        <v/>
      </c>
      <c r="Q384" s="157" t="str">
        <f t="shared" si="58"/>
        <v/>
      </c>
      <c r="R384" s="157" t="str">
        <f t="shared" si="59"/>
        <v/>
      </c>
    </row>
    <row r="385" spans="1:18" ht="25.5" customHeight="1" x14ac:dyDescent="0.25">
      <c r="A385" s="274"/>
      <c r="B385" s="274"/>
      <c r="C385" s="274"/>
      <c r="D385" s="274"/>
      <c r="E385" s="274"/>
      <c r="F385" s="268"/>
      <c r="G385" s="274"/>
      <c r="H385" s="268"/>
      <c r="I385" s="274"/>
      <c r="J385" s="268"/>
      <c r="K385" s="172"/>
      <c r="L385" s="145">
        <f t="shared" si="53"/>
        <v>42</v>
      </c>
      <c r="M385" s="156" t="str">
        <f t="shared" si="54"/>
        <v/>
      </c>
      <c r="N385" s="157" t="str">
        <f t="shared" si="55"/>
        <v/>
      </c>
      <c r="O385" s="157" t="str">
        <f t="shared" si="56"/>
        <v/>
      </c>
      <c r="P385" s="158" t="str">
        <f t="shared" si="57"/>
        <v/>
      </c>
      <c r="Q385" s="157" t="str">
        <f t="shared" si="58"/>
        <v/>
      </c>
      <c r="R385" s="157" t="str">
        <f t="shared" si="59"/>
        <v/>
      </c>
    </row>
    <row r="386" spans="1:18" ht="14.25" customHeight="1" thickBot="1" x14ac:dyDescent="0.3">
      <c r="A386" s="274"/>
      <c r="B386" s="274"/>
      <c r="C386" s="274"/>
      <c r="D386" s="274"/>
      <c r="E386" s="274"/>
      <c r="F386" s="268"/>
      <c r="G386" s="274"/>
      <c r="H386" s="350"/>
      <c r="I386" s="350"/>
      <c r="J386" s="268"/>
      <c r="K386" s="172"/>
      <c r="L386" s="145">
        <f t="shared" si="53"/>
        <v>42</v>
      </c>
      <c r="M386" s="156" t="str">
        <f t="shared" si="54"/>
        <v/>
      </c>
      <c r="N386" s="157" t="str">
        <f t="shared" si="55"/>
        <v/>
      </c>
      <c r="O386" s="157" t="str">
        <f t="shared" si="56"/>
        <v/>
      </c>
      <c r="P386" s="158" t="str">
        <f t="shared" si="57"/>
        <v/>
      </c>
      <c r="Q386" s="157" t="str">
        <f t="shared" si="58"/>
        <v/>
      </c>
      <c r="R386" s="157" t="str">
        <f t="shared" si="59"/>
        <v/>
      </c>
    </row>
    <row r="387" spans="1:18" ht="38.25" customHeight="1" thickTop="1" x14ac:dyDescent="0.25">
      <c r="A387" s="259"/>
      <c r="B387" s="259"/>
      <c r="C387" s="259"/>
      <c r="D387" s="259"/>
      <c r="E387" s="259"/>
      <c r="F387" s="259"/>
      <c r="G387" s="259"/>
      <c r="H387" s="259"/>
      <c r="I387" s="259"/>
      <c r="J387" s="259"/>
      <c r="K387" s="172"/>
      <c r="L387" s="145">
        <f t="shared" si="53"/>
        <v>42</v>
      </c>
      <c r="M387" s="156" t="str">
        <f t="shared" si="54"/>
        <v/>
      </c>
      <c r="N387" s="157" t="str">
        <f t="shared" si="55"/>
        <v/>
      </c>
      <c r="O387" s="157" t="str">
        <f t="shared" si="56"/>
        <v/>
      </c>
      <c r="P387" s="158" t="str">
        <f t="shared" si="57"/>
        <v/>
      </c>
      <c r="Q387" s="157" t="str">
        <f t="shared" si="58"/>
        <v/>
      </c>
      <c r="R387" s="157" t="str">
        <f t="shared" si="59"/>
        <v/>
      </c>
    </row>
    <row r="388" spans="1:18" ht="38.25" customHeight="1" x14ac:dyDescent="0.25">
      <c r="A388" s="270"/>
      <c r="B388" s="254" t="s">
        <v>1</v>
      </c>
      <c r="C388" s="270" t="s">
        <v>2</v>
      </c>
      <c r="D388" s="270" t="s">
        <v>3</v>
      </c>
      <c r="E388" s="347" t="s">
        <v>19</v>
      </c>
      <c r="F388" s="347"/>
      <c r="G388" s="253" t="s">
        <v>4</v>
      </c>
      <c r="H388" s="254" t="s">
        <v>5</v>
      </c>
      <c r="I388" s="254" t="s">
        <v>6</v>
      </c>
      <c r="J388" s="254" t="s">
        <v>7</v>
      </c>
      <c r="K388" s="172"/>
      <c r="L388" s="145">
        <f t="shared" si="53"/>
        <v>43</v>
      </c>
      <c r="M388" s="156" t="str">
        <f t="shared" si="54"/>
        <v/>
      </c>
      <c r="N388" s="157" t="str">
        <f t="shared" si="55"/>
        <v/>
      </c>
      <c r="O388" s="157" t="str">
        <f t="shared" si="56"/>
        <v/>
      </c>
      <c r="P388" s="158" t="str">
        <f t="shared" si="57"/>
        <v/>
      </c>
      <c r="Q388" s="157" t="str">
        <f t="shared" si="58"/>
        <v/>
      </c>
      <c r="R388" s="157" t="str">
        <f t="shared" si="59"/>
        <v/>
      </c>
    </row>
    <row r="389" spans="1:18" ht="26.4" x14ac:dyDescent="0.25">
      <c r="A389" s="271" t="s">
        <v>20</v>
      </c>
      <c r="B389" s="256" t="s">
        <v>728</v>
      </c>
      <c r="C389" s="271" t="s">
        <v>10</v>
      </c>
      <c r="D389" s="271" t="s">
        <v>729</v>
      </c>
      <c r="E389" s="362" t="s">
        <v>27</v>
      </c>
      <c r="F389" s="362"/>
      <c r="G389" s="255" t="s">
        <v>28</v>
      </c>
      <c r="H389" s="258">
        <v>1</v>
      </c>
      <c r="I389" s="257">
        <f>SUMIF(L:L,$L389,M:M)</f>
        <v>0.56000000000000005</v>
      </c>
      <c r="J389" s="257">
        <f>TRUNC(H389*I389,2)</f>
        <v>0.56000000000000005</v>
      </c>
      <c r="K389" s="172"/>
      <c r="L389" s="145">
        <f t="shared" si="53"/>
        <v>43</v>
      </c>
      <c r="M389" s="156" t="str">
        <f t="shared" si="54"/>
        <v/>
      </c>
      <c r="N389" s="157" t="str">
        <f t="shared" si="55"/>
        <v/>
      </c>
      <c r="O389" s="157" t="str">
        <f t="shared" si="56"/>
        <v/>
      </c>
      <c r="P389" s="158" t="str">
        <f t="shared" si="57"/>
        <v xml:space="preserve"> 95334 </v>
      </c>
      <c r="Q389" s="157">
        <f t="shared" si="58"/>
        <v>0.56000000000000005</v>
      </c>
      <c r="R389" s="157">
        <f t="shared" si="59"/>
        <v>0</v>
      </c>
    </row>
    <row r="390" spans="1:18" x14ac:dyDescent="0.25">
      <c r="A390" s="273" t="s">
        <v>31</v>
      </c>
      <c r="B390" s="265" t="s">
        <v>467</v>
      </c>
      <c r="C390" s="273" t="str">
        <f>VLOOKUP(B390,INSUMOS!$A:$I,2,FALSE)</f>
        <v>SINAPI</v>
      </c>
      <c r="D390" s="273" t="str">
        <f>VLOOKUP(B390,INSUMOS!$A:$I,3,FALSE)</f>
        <v>ELETROTECNICO</v>
      </c>
      <c r="E390" s="361" t="str">
        <f>VLOOKUP(B390,INSUMOS!$A:$I,4,FALSE)</f>
        <v>Mão de Obra</v>
      </c>
      <c r="F390" s="361"/>
      <c r="G390" s="264" t="str">
        <f>VLOOKUP(B390,INSUMOS!$A:$I,5,FALSE)</f>
        <v>H</v>
      </c>
      <c r="H390" s="267">
        <v>2.1999999999999999E-2</v>
      </c>
      <c r="I390" s="266">
        <f>VLOOKUP(B390,INSUMOS!$A:$I,8,FALSE)</f>
        <v>25.83</v>
      </c>
      <c r="J390" s="266">
        <f>TRUNC(H390*I390,2)</f>
        <v>0.56000000000000005</v>
      </c>
      <c r="K390" s="172"/>
      <c r="L390" s="145">
        <f t="shared" si="53"/>
        <v>43</v>
      </c>
      <c r="M390" s="156">
        <f t="shared" si="54"/>
        <v>0.56000000000000005</v>
      </c>
      <c r="N390" s="157">
        <f t="shared" si="55"/>
        <v>0.56000000000000005</v>
      </c>
      <c r="O390" s="157" t="str">
        <f t="shared" si="56"/>
        <v/>
      </c>
      <c r="P390" s="158" t="str">
        <f t="shared" si="57"/>
        <v/>
      </c>
      <c r="Q390" s="157" t="str">
        <f t="shared" si="58"/>
        <v/>
      </c>
      <c r="R390" s="157" t="str">
        <f t="shared" si="59"/>
        <v/>
      </c>
    </row>
    <row r="391" spans="1:18" ht="25.5" customHeight="1" x14ac:dyDescent="0.25">
      <c r="A391" s="274"/>
      <c r="B391" s="274"/>
      <c r="C391" s="274"/>
      <c r="D391" s="274"/>
      <c r="E391" s="274"/>
      <c r="F391" s="268"/>
      <c r="G391" s="274"/>
      <c r="H391" s="268"/>
      <c r="I391" s="274"/>
      <c r="J391" s="268"/>
      <c r="K391" s="172"/>
      <c r="L391" s="145">
        <f t="shared" si="53"/>
        <v>43</v>
      </c>
      <c r="M391" s="156" t="str">
        <f t="shared" si="54"/>
        <v/>
      </c>
      <c r="N391" s="157" t="str">
        <f t="shared" si="55"/>
        <v/>
      </c>
      <c r="O391" s="157" t="str">
        <f t="shared" si="56"/>
        <v/>
      </c>
      <c r="P391" s="158" t="str">
        <f t="shared" si="57"/>
        <v/>
      </c>
      <c r="Q391" s="157" t="str">
        <f t="shared" si="58"/>
        <v/>
      </c>
      <c r="R391" s="157" t="str">
        <f t="shared" si="59"/>
        <v/>
      </c>
    </row>
    <row r="392" spans="1:18" ht="14.25" customHeight="1" thickBot="1" x14ac:dyDescent="0.3">
      <c r="A392" s="274"/>
      <c r="B392" s="274"/>
      <c r="C392" s="274"/>
      <c r="D392" s="274"/>
      <c r="E392" s="274"/>
      <c r="F392" s="268"/>
      <c r="G392" s="274"/>
      <c r="H392" s="350"/>
      <c r="I392" s="350"/>
      <c r="J392" s="268"/>
      <c r="K392" s="172"/>
      <c r="L392" s="145">
        <f t="shared" si="53"/>
        <v>43</v>
      </c>
      <c r="M392" s="156" t="str">
        <f t="shared" si="54"/>
        <v/>
      </c>
      <c r="N392" s="157" t="str">
        <f t="shared" si="55"/>
        <v/>
      </c>
      <c r="O392" s="157" t="str">
        <f t="shared" si="56"/>
        <v/>
      </c>
      <c r="P392" s="158" t="str">
        <f t="shared" si="57"/>
        <v/>
      </c>
      <c r="Q392" s="157" t="str">
        <f t="shared" si="58"/>
        <v/>
      </c>
      <c r="R392" s="157" t="str">
        <f t="shared" si="59"/>
        <v/>
      </c>
    </row>
    <row r="393" spans="1:18" ht="15" customHeight="1" thickTop="1" x14ac:dyDescent="0.25">
      <c r="A393" s="259"/>
      <c r="B393" s="259"/>
      <c r="C393" s="259"/>
      <c r="D393" s="259"/>
      <c r="E393" s="259"/>
      <c r="F393" s="259"/>
      <c r="G393" s="259"/>
      <c r="H393" s="259"/>
      <c r="I393" s="259"/>
      <c r="J393" s="259"/>
      <c r="K393" s="172"/>
      <c r="L393" s="145">
        <f t="shared" si="53"/>
        <v>43</v>
      </c>
      <c r="M393" s="156" t="str">
        <f t="shared" si="54"/>
        <v/>
      </c>
      <c r="N393" s="157" t="str">
        <f t="shared" si="55"/>
        <v/>
      </c>
      <c r="O393" s="157" t="str">
        <f t="shared" si="56"/>
        <v/>
      </c>
      <c r="P393" s="158" t="str">
        <f t="shared" si="57"/>
        <v/>
      </c>
      <c r="Q393" s="157" t="str">
        <f t="shared" si="58"/>
        <v/>
      </c>
      <c r="R393" s="157" t="str">
        <f t="shared" si="59"/>
        <v/>
      </c>
    </row>
    <row r="394" spans="1:18" x14ac:dyDescent="0.25">
      <c r="A394" s="270"/>
      <c r="B394" s="254" t="s">
        <v>1</v>
      </c>
      <c r="C394" s="270" t="s">
        <v>2</v>
      </c>
      <c r="D394" s="270" t="s">
        <v>3</v>
      </c>
      <c r="E394" s="347" t="s">
        <v>19</v>
      </c>
      <c r="F394" s="347"/>
      <c r="G394" s="253" t="s">
        <v>4</v>
      </c>
      <c r="H394" s="254" t="s">
        <v>5</v>
      </c>
      <c r="I394" s="254" t="s">
        <v>6</v>
      </c>
      <c r="J394" s="254" t="s">
        <v>7</v>
      </c>
      <c r="K394" s="172"/>
      <c r="L394" s="145">
        <f t="shared" si="53"/>
        <v>44</v>
      </c>
      <c r="M394" s="156" t="str">
        <f t="shared" si="54"/>
        <v/>
      </c>
      <c r="N394" s="157" t="str">
        <f t="shared" si="55"/>
        <v/>
      </c>
      <c r="O394" s="157" t="str">
        <f t="shared" si="56"/>
        <v/>
      </c>
      <c r="P394" s="158" t="str">
        <f t="shared" si="57"/>
        <v/>
      </c>
      <c r="Q394" s="157" t="str">
        <f t="shared" si="58"/>
        <v/>
      </c>
      <c r="R394" s="157" t="str">
        <f t="shared" si="59"/>
        <v/>
      </c>
    </row>
    <row r="395" spans="1:18" ht="15" customHeight="1" x14ac:dyDescent="0.25">
      <c r="A395" s="271" t="s">
        <v>20</v>
      </c>
      <c r="B395" s="256" t="s">
        <v>311</v>
      </c>
      <c r="C395" s="271" t="s">
        <v>10</v>
      </c>
      <c r="D395" s="271" t="s">
        <v>312</v>
      </c>
      <c r="E395" s="362" t="s">
        <v>27</v>
      </c>
      <c r="F395" s="362"/>
      <c r="G395" s="255" t="s">
        <v>28</v>
      </c>
      <c r="H395" s="258">
        <v>1</v>
      </c>
      <c r="I395" s="257">
        <f>SUMIF(L:L,$L395,M:M)</f>
        <v>0.22</v>
      </c>
      <c r="J395" s="257">
        <f>TRUNC(H395*I395,2)</f>
        <v>0.22</v>
      </c>
      <c r="K395" s="172"/>
      <c r="L395" s="145">
        <f t="shared" si="53"/>
        <v>44</v>
      </c>
      <c r="M395" s="156" t="str">
        <f t="shared" si="54"/>
        <v/>
      </c>
      <c r="N395" s="157" t="str">
        <f t="shared" si="55"/>
        <v/>
      </c>
      <c r="O395" s="157" t="str">
        <f t="shared" si="56"/>
        <v/>
      </c>
      <c r="P395" s="158" t="str">
        <f t="shared" si="57"/>
        <v xml:space="preserve"> 95335 </v>
      </c>
      <c r="Q395" s="157">
        <f t="shared" si="58"/>
        <v>0.22</v>
      </c>
      <c r="R395" s="157">
        <f t="shared" si="59"/>
        <v>0</v>
      </c>
    </row>
    <row r="396" spans="1:18" x14ac:dyDescent="0.25">
      <c r="A396" s="273" t="s">
        <v>31</v>
      </c>
      <c r="B396" s="265" t="s">
        <v>263</v>
      </c>
      <c r="C396" s="273" t="str">
        <f>VLOOKUP(B396,INSUMOS!$A:$I,2,FALSE)</f>
        <v>SINAPI</v>
      </c>
      <c r="D396" s="273" t="str">
        <f>VLOOKUP(B396,INSUMOS!$A:$I,3,FALSE)</f>
        <v>ENCANADOR OU BOMBEIRO HIDRAULICO</v>
      </c>
      <c r="E396" s="361" t="str">
        <f>VLOOKUP(B396,INSUMOS!$A:$I,4,FALSE)</f>
        <v>Mão de Obra</v>
      </c>
      <c r="F396" s="361"/>
      <c r="G396" s="264" t="str">
        <f>VLOOKUP(B396,INSUMOS!$A:$I,5,FALSE)</f>
        <v>H</v>
      </c>
      <c r="H396" s="267">
        <v>1.2800000000000001E-2</v>
      </c>
      <c r="I396" s="266">
        <f>VLOOKUP(B396,INSUMOS!$A:$I,8,FALSE)</f>
        <v>17.52</v>
      </c>
      <c r="J396" s="266">
        <f>TRUNC(H396*I396,2)</f>
        <v>0.22</v>
      </c>
      <c r="K396" s="172"/>
      <c r="L396" s="145">
        <f t="shared" si="53"/>
        <v>44</v>
      </c>
      <c r="M396" s="156">
        <f t="shared" si="54"/>
        <v>0.22</v>
      </c>
      <c r="N396" s="157">
        <f t="shared" si="55"/>
        <v>0.22</v>
      </c>
      <c r="O396" s="157" t="str">
        <f t="shared" si="56"/>
        <v/>
      </c>
      <c r="P396" s="158" t="str">
        <f t="shared" si="57"/>
        <v/>
      </c>
      <c r="Q396" s="157" t="str">
        <f t="shared" si="58"/>
        <v/>
      </c>
      <c r="R396" s="157" t="str">
        <f t="shared" si="59"/>
        <v/>
      </c>
    </row>
    <row r="397" spans="1:18" ht="38.25" customHeight="1" x14ac:dyDescent="0.25">
      <c r="A397" s="274"/>
      <c r="B397" s="274"/>
      <c r="C397" s="274"/>
      <c r="D397" s="274"/>
      <c r="E397" s="274"/>
      <c r="F397" s="268"/>
      <c r="G397" s="274"/>
      <c r="H397" s="268"/>
      <c r="I397" s="274"/>
      <c r="J397" s="268"/>
      <c r="K397" s="172"/>
      <c r="L397" s="145">
        <f t="shared" si="53"/>
        <v>44</v>
      </c>
      <c r="M397" s="156" t="str">
        <f t="shared" si="54"/>
        <v/>
      </c>
      <c r="N397" s="157" t="str">
        <f t="shared" si="55"/>
        <v/>
      </c>
      <c r="O397" s="157" t="str">
        <f t="shared" si="56"/>
        <v/>
      </c>
      <c r="P397" s="158" t="str">
        <f t="shared" si="57"/>
        <v/>
      </c>
      <c r="Q397" s="157" t="str">
        <f t="shared" si="58"/>
        <v/>
      </c>
      <c r="R397" s="157" t="str">
        <f t="shared" si="59"/>
        <v/>
      </c>
    </row>
    <row r="398" spans="1:18" ht="38.25" customHeight="1" thickBot="1" x14ac:dyDescent="0.3">
      <c r="A398" s="274"/>
      <c r="B398" s="274"/>
      <c r="C398" s="274"/>
      <c r="D398" s="274"/>
      <c r="E398" s="274"/>
      <c r="F398" s="268"/>
      <c r="G398" s="274"/>
      <c r="H398" s="350"/>
      <c r="I398" s="350"/>
      <c r="J398" s="268"/>
      <c r="K398" s="172"/>
      <c r="L398" s="145">
        <f t="shared" si="53"/>
        <v>44</v>
      </c>
      <c r="M398" s="156" t="str">
        <f t="shared" si="54"/>
        <v/>
      </c>
      <c r="N398" s="157" t="str">
        <f t="shared" si="55"/>
        <v/>
      </c>
      <c r="O398" s="157" t="str">
        <f t="shared" si="56"/>
        <v/>
      </c>
      <c r="P398" s="158" t="str">
        <f t="shared" si="57"/>
        <v/>
      </c>
      <c r="Q398" s="157" t="str">
        <f t="shared" si="58"/>
        <v/>
      </c>
      <c r="R398" s="157" t="str">
        <f t="shared" si="59"/>
        <v/>
      </c>
    </row>
    <row r="399" spans="1:18" ht="14.4" thickTop="1" x14ac:dyDescent="0.25">
      <c r="A399" s="259"/>
      <c r="B399" s="259"/>
      <c r="C399" s="259"/>
      <c r="D399" s="259"/>
      <c r="E399" s="259"/>
      <c r="F399" s="259"/>
      <c r="G399" s="259"/>
      <c r="H399" s="259"/>
      <c r="I399" s="259"/>
      <c r="J399" s="259"/>
      <c r="K399" s="172"/>
      <c r="L399" s="145">
        <f t="shared" si="53"/>
        <v>44</v>
      </c>
      <c r="M399" s="156" t="str">
        <f t="shared" si="54"/>
        <v/>
      </c>
      <c r="N399" s="157" t="str">
        <f t="shared" si="55"/>
        <v/>
      </c>
      <c r="O399" s="157" t="str">
        <f t="shared" si="56"/>
        <v/>
      </c>
      <c r="P399" s="158" t="str">
        <f t="shared" si="57"/>
        <v/>
      </c>
      <c r="Q399" s="157" t="str">
        <f t="shared" si="58"/>
        <v/>
      </c>
      <c r="R399" s="157" t="str">
        <f t="shared" si="59"/>
        <v/>
      </c>
    </row>
    <row r="400" spans="1:18" x14ac:dyDescent="0.25">
      <c r="A400" s="270"/>
      <c r="B400" s="254" t="s">
        <v>1</v>
      </c>
      <c r="C400" s="270" t="s">
        <v>2</v>
      </c>
      <c r="D400" s="270" t="s">
        <v>3</v>
      </c>
      <c r="E400" s="347" t="s">
        <v>19</v>
      </c>
      <c r="F400" s="347"/>
      <c r="G400" s="253" t="s">
        <v>4</v>
      </c>
      <c r="H400" s="254" t="s">
        <v>5</v>
      </c>
      <c r="I400" s="254" t="s">
        <v>6</v>
      </c>
      <c r="J400" s="254" t="s">
        <v>7</v>
      </c>
      <c r="K400" s="172"/>
      <c r="L400" s="145">
        <f t="shared" si="53"/>
        <v>45</v>
      </c>
      <c r="M400" s="156" t="str">
        <f t="shared" si="54"/>
        <v/>
      </c>
      <c r="N400" s="157" t="str">
        <f t="shared" si="55"/>
        <v/>
      </c>
      <c r="O400" s="157" t="str">
        <f t="shared" si="56"/>
        <v/>
      </c>
      <c r="P400" s="158" t="str">
        <f t="shared" si="57"/>
        <v/>
      </c>
      <c r="Q400" s="157" t="str">
        <f t="shared" si="58"/>
        <v/>
      </c>
      <c r="R400" s="157" t="str">
        <f t="shared" si="59"/>
        <v/>
      </c>
    </row>
    <row r="401" spans="1:18" ht="26.4" x14ac:dyDescent="0.25">
      <c r="A401" s="271" t="s">
        <v>20</v>
      </c>
      <c r="B401" s="256" t="s">
        <v>724</v>
      </c>
      <c r="C401" s="271" t="s">
        <v>10</v>
      </c>
      <c r="D401" s="271" t="s">
        <v>725</v>
      </c>
      <c r="E401" s="362" t="s">
        <v>27</v>
      </c>
      <c r="F401" s="362"/>
      <c r="G401" s="255" t="s">
        <v>28</v>
      </c>
      <c r="H401" s="258">
        <v>1</v>
      </c>
      <c r="I401" s="257">
        <f>SUMIF(L:L,$L401,M:M)</f>
        <v>2.58</v>
      </c>
      <c r="J401" s="257">
        <f>TRUNC(H401*I401,2)</f>
        <v>2.58</v>
      </c>
      <c r="K401" s="172"/>
      <c r="L401" s="145">
        <f t="shared" ref="L401:L464" si="61">IF(AND(A402&lt;&gt;"",A401=""),L400+1,L400)</f>
        <v>45</v>
      </c>
      <c r="M401" s="156" t="str">
        <f t="shared" ref="M401:M464" si="62">IF(OR(A401="Insumo",A401="Composição Auxiliar"),J401,"")</f>
        <v/>
      </c>
      <c r="N401" s="157" t="str">
        <f t="shared" ref="N401:N464" si="63">IF(E401="Mão de Obra",J401,"")</f>
        <v/>
      </c>
      <c r="O401" s="157" t="str">
        <f t="shared" ref="O401:O464" si="64">IF(N401&lt;&gt;"","",M401)</f>
        <v/>
      </c>
      <c r="P401" s="158" t="str">
        <f t="shared" ref="P401:P464" si="65">IF(A401="Composição",B401,"")</f>
        <v xml:space="preserve"> 95407 </v>
      </c>
      <c r="Q401" s="157">
        <f t="shared" ref="Q401:Q464" si="66">IF(P401&lt;&gt;"",SUMIF(L401:L501,L401,N401:N501),"")</f>
        <v>2.58</v>
      </c>
      <c r="R401" s="157">
        <f t="shared" ref="R401:R464" si="67">IF(P401&lt;&gt;"",SUMIF(L401:L501,L401,O401:O501),"")</f>
        <v>0</v>
      </c>
    </row>
    <row r="402" spans="1:18" ht="26.4" customHeight="1" x14ac:dyDescent="0.25">
      <c r="A402" s="273" t="s">
        <v>31</v>
      </c>
      <c r="B402" s="265" t="s">
        <v>378</v>
      </c>
      <c r="C402" s="273" t="str">
        <f>VLOOKUP(B402,INSUMOS!$A:$I,2,FALSE)</f>
        <v>SINAPI</v>
      </c>
      <c r="D402" s="273" t="str">
        <f>VLOOKUP(B402,INSUMOS!$A:$I,3,FALSE)</f>
        <v>ENGENHEIRO ELETRICISTA</v>
      </c>
      <c r="E402" s="361" t="str">
        <f>VLOOKUP(B402,INSUMOS!$A:$I,4,FALSE)</f>
        <v>Mão de Obra</v>
      </c>
      <c r="F402" s="361"/>
      <c r="G402" s="264" t="str">
        <f>VLOOKUP(B402,INSUMOS!$A:$I,5,FALSE)</f>
        <v>H</v>
      </c>
      <c r="H402" s="267">
        <v>2.4299999999999999E-2</v>
      </c>
      <c r="I402" s="266">
        <f>VLOOKUP(B402,INSUMOS!$A:$I,8,FALSE)</f>
        <v>106.56</v>
      </c>
      <c r="J402" s="266">
        <f>TRUNC(H402*I402,2)</f>
        <v>2.58</v>
      </c>
      <c r="K402" s="172"/>
      <c r="L402" s="145">
        <f t="shared" si="61"/>
        <v>45</v>
      </c>
      <c r="M402" s="156">
        <f t="shared" si="62"/>
        <v>2.58</v>
      </c>
      <c r="N402" s="157">
        <f t="shared" si="63"/>
        <v>2.58</v>
      </c>
      <c r="O402" s="157" t="str">
        <f t="shared" si="64"/>
        <v/>
      </c>
      <c r="P402" s="158" t="str">
        <f t="shared" si="65"/>
        <v/>
      </c>
      <c r="Q402" s="157" t="str">
        <f t="shared" si="66"/>
        <v/>
      </c>
      <c r="R402" s="157" t="str">
        <f t="shared" si="67"/>
        <v/>
      </c>
    </row>
    <row r="403" spans="1:18" x14ac:dyDescent="0.25">
      <c r="A403" s="274"/>
      <c r="B403" s="274"/>
      <c r="C403" s="274"/>
      <c r="D403" s="274"/>
      <c r="E403" s="274"/>
      <c r="F403" s="268"/>
      <c r="G403" s="274"/>
      <c r="H403" s="268"/>
      <c r="I403" s="274"/>
      <c r="J403" s="268"/>
      <c r="K403" s="172"/>
      <c r="L403" s="145">
        <f t="shared" si="61"/>
        <v>45</v>
      </c>
      <c r="M403" s="156" t="str">
        <f t="shared" si="62"/>
        <v/>
      </c>
      <c r="N403" s="157" t="str">
        <f t="shared" si="63"/>
        <v/>
      </c>
      <c r="O403" s="157" t="str">
        <f t="shared" si="64"/>
        <v/>
      </c>
      <c r="P403" s="158" t="str">
        <f t="shared" si="65"/>
        <v/>
      </c>
      <c r="Q403" s="157" t="str">
        <f t="shared" si="66"/>
        <v/>
      </c>
      <c r="R403" s="157" t="str">
        <f t="shared" si="67"/>
        <v/>
      </c>
    </row>
    <row r="404" spans="1:18" ht="15" customHeight="1" thickBot="1" x14ac:dyDescent="0.3">
      <c r="A404" s="274"/>
      <c r="B404" s="274"/>
      <c r="C404" s="274"/>
      <c r="D404" s="274"/>
      <c r="E404" s="274"/>
      <c r="F404" s="268"/>
      <c r="G404" s="274"/>
      <c r="H404" s="350"/>
      <c r="I404" s="350"/>
      <c r="J404" s="268"/>
      <c r="K404" s="172"/>
      <c r="L404" s="145">
        <f t="shared" si="61"/>
        <v>45</v>
      </c>
      <c r="M404" s="156" t="str">
        <f t="shared" si="62"/>
        <v/>
      </c>
      <c r="N404" s="157" t="str">
        <f t="shared" si="63"/>
        <v/>
      </c>
      <c r="O404" s="157" t="str">
        <f t="shared" si="64"/>
        <v/>
      </c>
      <c r="P404" s="158" t="str">
        <f t="shared" si="65"/>
        <v/>
      </c>
      <c r="Q404" s="157" t="str">
        <f t="shared" si="66"/>
        <v/>
      </c>
      <c r="R404" s="157" t="str">
        <f t="shared" si="67"/>
        <v/>
      </c>
    </row>
    <row r="405" spans="1:18" ht="15" customHeight="1" thickTop="1" x14ac:dyDescent="0.25">
      <c r="A405" s="259"/>
      <c r="B405" s="259"/>
      <c r="C405" s="259"/>
      <c r="D405" s="259"/>
      <c r="E405" s="259"/>
      <c r="F405" s="259"/>
      <c r="G405" s="259"/>
      <c r="H405" s="259"/>
      <c r="I405" s="259"/>
      <c r="J405" s="259"/>
      <c r="L405" s="145">
        <f t="shared" si="61"/>
        <v>45</v>
      </c>
      <c r="M405" s="156" t="str">
        <f t="shared" si="62"/>
        <v/>
      </c>
      <c r="N405" s="157" t="str">
        <f t="shared" si="63"/>
        <v/>
      </c>
      <c r="O405" s="157" t="str">
        <f t="shared" si="64"/>
        <v/>
      </c>
      <c r="P405" s="158" t="str">
        <f t="shared" si="65"/>
        <v/>
      </c>
      <c r="Q405" s="157" t="str">
        <f t="shared" si="66"/>
        <v/>
      </c>
      <c r="R405" s="157" t="str">
        <f t="shared" si="67"/>
        <v/>
      </c>
    </row>
    <row r="406" spans="1:18" x14ac:dyDescent="0.25">
      <c r="A406" s="270"/>
      <c r="B406" s="254" t="s">
        <v>1</v>
      </c>
      <c r="C406" s="270" t="s">
        <v>2</v>
      </c>
      <c r="D406" s="270" t="s">
        <v>3</v>
      </c>
      <c r="E406" s="347" t="s">
        <v>19</v>
      </c>
      <c r="F406" s="347"/>
      <c r="G406" s="253" t="s">
        <v>4</v>
      </c>
      <c r="H406" s="254" t="s">
        <v>5</v>
      </c>
      <c r="I406" s="254" t="s">
        <v>6</v>
      </c>
      <c r="J406" s="254" t="s">
        <v>7</v>
      </c>
      <c r="L406" s="145">
        <f t="shared" si="61"/>
        <v>46</v>
      </c>
      <c r="M406" s="156" t="str">
        <f t="shared" si="62"/>
        <v/>
      </c>
      <c r="N406" s="157" t="str">
        <f t="shared" si="63"/>
        <v/>
      </c>
      <c r="O406" s="157" t="str">
        <f t="shared" si="64"/>
        <v/>
      </c>
      <c r="P406" s="158" t="str">
        <f t="shared" si="65"/>
        <v/>
      </c>
      <c r="Q406" s="157" t="str">
        <f t="shared" si="66"/>
        <v/>
      </c>
      <c r="R406" s="157" t="str">
        <f t="shared" si="67"/>
        <v/>
      </c>
    </row>
    <row r="407" spans="1:18" ht="26.4" x14ac:dyDescent="0.25">
      <c r="A407" s="271" t="s">
        <v>20</v>
      </c>
      <c r="B407" s="256" t="s">
        <v>730</v>
      </c>
      <c r="C407" s="271" t="s">
        <v>10</v>
      </c>
      <c r="D407" s="271" t="s">
        <v>731</v>
      </c>
      <c r="E407" s="362" t="s">
        <v>27</v>
      </c>
      <c r="F407" s="362"/>
      <c r="G407" s="255" t="s">
        <v>28</v>
      </c>
      <c r="H407" s="258">
        <v>1</v>
      </c>
      <c r="I407" s="257">
        <f>SUMIF(L:L,$L407,M:M)</f>
        <v>0.1</v>
      </c>
      <c r="J407" s="257">
        <f>TRUNC(H407*I407,2)</f>
        <v>0.1</v>
      </c>
      <c r="L407" s="145">
        <f t="shared" si="61"/>
        <v>46</v>
      </c>
      <c r="M407" s="156" t="str">
        <f t="shared" si="62"/>
        <v/>
      </c>
      <c r="N407" s="157" t="str">
        <f t="shared" si="63"/>
        <v/>
      </c>
      <c r="O407" s="157" t="str">
        <f t="shared" si="64"/>
        <v/>
      </c>
      <c r="P407" s="158" t="str">
        <f t="shared" si="65"/>
        <v xml:space="preserve"> 95344 </v>
      </c>
      <c r="Q407" s="157">
        <f t="shared" si="66"/>
        <v>0.1</v>
      </c>
      <c r="R407" s="157">
        <f t="shared" si="67"/>
        <v>0</v>
      </c>
    </row>
    <row r="408" spans="1:18" ht="38.25" customHeight="1" x14ac:dyDescent="0.25">
      <c r="A408" s="273" t="s">
        <v>31</v>
      </c>
      <c r="B408" s="265" t="s">
        <v>576</v>
      </c>
      <c r="C408" s="273" t="str">
        <f>VLOOKUP(B408,INSUMOS!$A:$I,2,FALSE)</f>
        <v>SINAPI</v>
      </c>
      <c r="D408" s="273" t="str">
        <f>VLOOKUP(B408,INSUMOS!$A:$I,3,FALSE)</f>
        <v>MONTADOR DE ESTRUTURAS METALICAS</v>
      </c>
      <c r="E408" s="361" t="str">
        <f>VLOOKUP(B408,INSUMOS!$A:$I,4,FALSE)</f>
        <v>Mão de Obra</v>
      </c>
      <c r="F408" s="361"/>
      <c r="G408" s="264" t="str">
        <f>VLOOKUP(B408,INSUMOS!$A:$I,5,FALSE)</f>
        <v>H</v>
      </c>
      <c r="H408" s="267">
        <v>8.2000000000000007E-3</v>
      </c>
      <c r="I408" s="266">
        <f>VLOOKUP(B408,INSUMOS!$A:$I,8,FALSE)</f>
        <v>12.88</v>
      </c>
      <c r="J408" s="266">
        <f>TRUNC(H408*I408,2)</f>
        <v>0.1</v>
      </c>
      <c r="L408" s="145">
        <f t="shared" si="61"/>
        <v>46</v>
      </c>
      <c r="M408" s="156">
        <f t="shared" si="62"/>
        <v>0.1</v>
      </c>
      <c r="N408" s="157">
        <f t="shared" si="63"/>
        <v>0.1</v>
      </c>
      <c r="O408" s="157" t="str">
        <f t="shared" si="64"/>
        <v/>
      </c>
      <c r="P408" s="158" t="str">
        <f t="shared" si="65"/>
        <v/>
      </c>
      <c r="Q408" s="157" t="str">
        <f t="shared" si="66"/>
        <v/>
      </c>
      <c r="R408" s="157" t="str">
        <f t="shared" si="67"/>
        <v/>
      </c>
    </row>
    <row r="409" spans="1:18" ht="38.25" customHeight="1" x14ac:dyDescent="0.25">
      <c r="A409" s="274"/>
      <c r="B409" s="274"/>
      <c r="C409" s="274"/>
      <c r="D409" s="274"/>
      <c r="E409" s="274"/>
      <c r="F409" s="268"/>
      <c r="G409" s="274"/>
      <c r="H409" s="268"/>
      <c r="I409" s="274"/>
      <c r="J409" s="268"/>
      <c r="L409" s="145">
        <f t="shared" si="61"/>
        <v>46</v>
      </c>
      <c r="M409" s="156" t="str">
        <f t="shared" si="62"/>
        <v/>
      </c>
      <c r="N409" s="157" t="str">
        <f t="shared" si="63"/>
        <v/>
      </c>
      <c r="O409" s="157" t="str">
        <f t="shared" si="64"/>
        <v/>
      </c>
      <c r="P409" s="158" t="str">
        <f t="shared" si="65"/>
        <v/>
      </c>
      <c r="Q409" s="157" t="str">
        <f t="shared" si="66"/>
        <v/>
      </c>
      <c r="R409" s="157" t="str">
        <f t="shared" si="67"/>
        <v/>
      </c>
    </row>
    <row r="410" spans="1:18" ht="14.25" customHeight="1" thickBot="1" x14ac:dyDescent="0.3">
      <c r="A410" s="274"/>
      <c r="B410" s="274"/>
      <c r="C410" s="274"/>
      <c r="D410" s="274"/>
      <c r="E410" s="274"/>
      <c r="F410" s="268"/>
      <c r="G410" s="274"/>
      <c r="H410" s="350"/>
      <c r="I410" s="350"/>
      <c r="J410" s="268"/>
      <c r="L410" s="145">
        <f t="shared" si="61"/>
        <v>46</v>
      </c>
      <c r="M410" s="156" t="str">
        <f t="shared" si="62"/>
        <v/>
      </c>
      <c r="N410" s="157" t="str">
        <f t="shared" si="63"/>
        <v/>
      </c>
      <c r="O410" s="157" t="str">
        <f t="shared" si="64"/>
        <v/>
      </c>
      <c r="P410" s="158" t="str">
        <f t="shared" si="65"/>
        <v/>
      </c>
      <c r="Q410" s="157" t="str">
        <f t="shared" si="66"/>
        <v/>
      </c>
      <c r="R410" s="157" t="str">
        <f t="shared" si="67"/>
        <v/>
      </c>
    </row>
    <row r="411" spans="1:18" ht="25.5" customHeight="1" thickTop="1" x14ac:dyDescent="0.25">
      <c r="A411" s="259"/>
      <c r="B411" s="259"/>
      <c r="C411" s="259"/>
      <c r="D411" s="259"/>
      <c r="E411" s="259"/>
      <c r="F411" s="259"/>
      <c r="G411" s="259"/>
      <c r="H411" s="259"/>
      <c r="I411" s="259"/>
      <c r="J411" s="259"/>
      <c r="L411" s="145">
        <f t="shared" si="61"/>
        <v>46</v>
      </c>
      <c r="M411" s="156" t="str">
        <f t="shared" si="62"/>
        <v/>
      </c>
      <c r="N411" s="157" t="str">
        <f t="shared" si="63"/>
        <v/>
      </c>
      <c r="O411" s="157" t="str">
        <f t="shared" si="64"/>
        <v/>
      </c>
      <c r="P411" s="158" t="str">
        <f t="shared" si="65"/>
        <v/>
      </c>
      <c r="Q411" s="157" t="str">
        <f t="shared" si="66"/>
        <v/>
      </c>
      <c r="R411" s="157" t="str">
        <f t="shared" si="67"/>
        <v/>
      </c>
    </row>
    <row r="412" spans="1:18" x14ac:dyDescent="0.25">
      <c r="A412" s="270"/>
      <c r="B412" s="254" t="s">
        <v>1</v>
      </c>
      <c r="C412" s="270" t="s">
        <v>2</v>
      </c>
      <c r="D412" s="270" t="s">
        <v>3</v>
      </c>
      <c r="E412" s="347" t="s">
        <v>19</v>
      </c>
      <c r="F412" s="347"/>
      <c r="G412" s="253" t="s">
        <v>4</v>
      </c>
      <c r="H412" s="254" t="s">
        <v>5</v>
      </c>
      <c r="I412" s="254" t="s">
        <v>6</v>
      </c>
      <c r="J412" s="254" t="s">
        <v>7</v>
      </c>
      <c r="L412" s="145">
        <f t="shared" si="61"/>
        <v>47</v>
      </c>
      <c r="M412" s="156" t="str">
        <f t="shared" si="62"/>
        <v/>
      </c>
      <c r="N412" s="157" t="str">
        <f t="shared" si="63"/>
        <v/>
      </c>
      <c r="O412" s="157" t="str">
        <f t="shared" si="64"/>
        <v/>
      </c>
      <c r="P412" s="158" t="str">
        <f t="shared" si="65"/>
        <v/>
      </c>
      <c r="Q412" s="157" t="str">
        <f t="shared" si="66"/>
        <v/>
      </c>
      <c r="R412" s="157" t="str">
        <f t="shared" si="67"/>
        <v/>
      </c>
    </row>
    <row r="413" spans="1:18" ht="26.4" x14ac:dyDescent="0.25">
      <c r="A413" s="271" t="s">
        <v>20</v>
      </c>
      <c r="B413" s="256" t="s">
        <v>732</v>
      </c>
      <c r="C413" s="271" t="s">
        <v>10</v>
      </c>
      <c r="D413" s="271" t="s">
        <v>733</v>
      </c>
      <c r="E413" s="362" t="s">
        <v>27</v>
      </c>
      <c r="F413" s="362"/>
      <c r="G413" s="255" t="s">
        <v>28</v>
      </c>
      <c r="H413" s="258">
        <v>1</v>
      </c>
      <c r="I413" s="257">
        <f>SUMIF(L:L,$L413,M:M)</f>
        <v>0.15</v>
      </c>
      <c r="J413" s="257">
        <f>TRUNC(H413*I413,2)</f>
        <v>0.15</v>
      </c>
      <c r="L413" s="145">
        <f t="shared" si="61"/>
        <v>47</v>
      </c>
      <c r="M413" s="156" t="str">
        <f t="shared" si="62"/>
        <v/>
      </c>
      <c r="N413" s="157" t="str">
        <f t="shared" si="63"/>
        <v/>
      </c>
      <c r="O413" s="157" t="str">
        <f t="shared" si="64"/>
        <v/>
      </c>
      <c r="P413" s="158" t="str">
        <f t="shared" si="65"/>
        <v xml:space="preserve"> 95351 </v>
      </c>
      <c r="Q413" s="157">
        <f t="shared" si="66"/>
        <v>0.15</v>
      </c>
      <c r="R413" s="157">
        <f t="shared" si="67"/>
        <v>0</v>
      </c>
    </row>
    <row r="414" spans="1:18" ht="15" customHeight="1" x14ac:dyDescent="0.25">
      <c r="A414" s="273" t="s">
        <v>31</v>
      </c>
      <c r="B414" s="265" t="s">
        <v>451</v>
      </c>
      <c r="C414" s="273" t="str">
        <f>VLOOKUP(B414,INSUMOS!$A:$I,2,FALSE)</f>
        <v>SINAPI</v>
      </c>
      <c r="D414" s="273" t="str">
        <f>VLOOKUP(B414,INSUMOS!$A:$I,3,FALSE)</f>
        <v>MOTORISTA OPERADOR DE CAMINHAO COM MUNCK</v>
      </c>
      <c r="E414" s="361" t="str">
        <f>VLOOKUP(B414,INSUMOS!$A:$I,4,FALSE)</f>
        <v>Mão de Obra</v>
      </c>
      <c r="F414" s="361"/>
      <c r="G414" s="264" t="str">
        <f>VLOOKUP(B414,INSUMOS!$A:$I,5,FALSE)</f>
        <v>H</v>
      </c>
      <c r="H414" s="267">
        <v>1.17E-2</v>
      </c>
      <c r="I414" s="266">
        <f>VLOOKUP(B414,INSUMOS!$A:$I,8,FALSE)</f>
        <v>13.29</v>
      </c>
      <c r="J414" s="266">
        <f>TRUNC(H414*I414,2)</f>
        <v>0.15</v>
      </c>
      <c r="L414" s="145">
        <f t="shared" si="61"/>
        <v>47</v>
      </c>
      <c r="M414" s="156">
        <f t="shared" si="62"/>
        <v>0.15</v>
      </c>
      <c r="N414" s="157">
        <f t="shared" si="63"/>
        <v>0.15</v>
      </c>
      <c r="O414" s="157" t="str">
        <f t="shared" si="64"/>
        <v/>
      </c>
      <c r="P414" s="158" t="str">
        <f t="shared" si="65"/>
        <v/>
      </c>
      <c r="Q414" s="157" t="str">
        <f t="shared" si="66"/>
        <v/>
      </c>
      <c r="R414" s="157" t="str">
        <f t="shared" si="67"/>
        <v/>
      </c>
    </row>
    <row r="415" spans="1:18" ht="15" customHeight="1" x14ac:dyDescent="0.25">
      <c r="A415" s="274"/>
      <c r="B415" s="274"/>
      <c r="C415" s="274"/>
      <c r="D415" s="274"/>
      <c r="E415" s="274"/>
      <c r="F415" s="268"/>
      <c r="G415" s="274"/>
      <c r="H415" s="268"/>
      <c r="I415" s="274"/>
      <c r="J415" s="268"/>
      <c r="L415" s="145">
        <f t="shared" si="61"/>
        <v>47</v>
      </c>
      <c r="M415" s="156" t="str">
        <f t="shared" si="62"/>
        <v/>
      </c>
      <c r="N415" s="157" t="str">
        <f t="shared" si="63"/>
        <v/>
      </c>
      <c r="O415" s="157" t="str">
        <f t="shared" si="64"/>
        <v/>
      </c>
      <c r="P415" s="158" t="str">
        <f t="shared" si="65"/>
        <v/>
      </c>
      <c r="Q415" s="157" t="str">
        <f t="shared" si="66"/>
        <v/>
      </c>
      <c r="R415" s="157" t="str">
        <f t="shared" si="67"/>
        <v/>
      </c>
    </row>
    <row r="416" spans="1:18" ht="14.4" thickBot="1" x14ac:dyDescent="0.3">
      <c r="A416" s="274"/>
      <c r="B416" s="274"/>
      <c r="C416" s="274"/>
      <c r="D416" s="274"/>
      <c r="E416" s="274"/>
      <c r="F416" s="268"/>
      <c r="G416" s="274"/>
      <c r="H416" s="350"/>
      <c r="I416" s="350"/>
      <c r="J416" s="268"/>
      <c r="L416" s="145">
        <f t="shared" si="61"/>
        <v>47</v>
      </c>
      <c r="M416" s="156" t="str">
        <f t="shared" si="62"/>
        <v/>
      </c>
      <c r="N416" s="157" t="str">
        <f t="shared" si="63"/>
        <v/>
      </c>
      <c r="O416" s="157" t="str">
        <f t="shared" si="64"/>
        <v/>
      </c>
      <c r="P416" s="158" t="str">
        <f t="shared" si="65"/>
        <v/>
      </c>
      <c r="Q416" s="157" t="str">
        <f t="shared" si="66"/>
        <v/>
      </c>
      <c r="R416" s="157" t="str">
        <f t="shared" si="67"/>
        <v/>
      </c>
    </row>
    <row r="417" spans="1:18" ht="38.25" customHeight="1" thickTop="1" x14ac:dyDescent="0.25">
      <c r="A417" s="259"/>
      <c r="B417" s="259"/>
      <c r="C417" s="259"/>
      <c r="D417" s="259"/>
      <c r="E417" s="259"/>
      <c r="F417" s="259"/>
      <c r="G417" s="259"/>
      <c r="H417" s="259"/>
      <c r="I417" s="259"/>
      <c r="J417" s="259"/>
      <c r="L417" s="145">
        <f t="shared" si="61"/>
        <v>47</v>
      </c>
      <c r="M417" s="156" t="str">
        <f t="shared" si="62"/>
        <v/>
      </c>
      <c r="N417" s="157" t="str">
        <f t="shared" si="63"/>
        <v/>
      </c>
      <c r="O417" s="157" t="str">
        <f t="shared" si="64"/>
        <v/>
      </c>
      <c r="P417" s="158" t="str">
        <f t="shared" si="65"/>
        <v/>
      </c>
      <c r="Q417" s="157" t="str">
        <f t="shared" si="66"/>
        <v/>
      </c>
      <c r="R417" s="157" t="str">
        <f t="shared" si="67"/>
        <v/>
      </c>
    </row>
    <row r="418" spans="1:18" ht="38.25" customHeight="1" x14ac:dyDescent="0.25">
      <c r="A418" s="270"/>
      <c r="B418" s="254" t="s">
        <v>1</v>
      </c>
      <c r="C418" s="270" t="s">
        <v>2</v>
      </c>
      <c r="D418" s="270" t="s">
        <v>3</v>
      </c>
      <c r="E418" s="347" t="s">
        <v>19</v>
      </c>
      <c r="F418" s="347"/>
      <c r="G418" s="253" t="s">
        <v>4</v>
      </c>
      <c r="H418" s="254" t="s">
        <v>5</v>
      </c>
      <c r="I418" s="254" t="s">
        <v>6</v>
      </c>
      <c r="J418" s="254" t="s">
        <v>7</v>
      </c>
      <c r="L418" s="145">
        <f t="shared" si="61"/>
        <v>48</v>
      </c>
      <c r="M418" s="156" t="str">
        <f t="shared" si="62"/>
        <v/>
      </c>
      <c r="N418" s="157" t="str">
        <f t="shared" si="63"/>
        <v/>
      </c>
      <c r="O418" s="157" t="str">
        <f t="shared" si="64"/>
        <v/>
      </c>
      <c r="P418" s="158" t="str">
        <f t="shared" si="65"/>
        <v/>
      </c>
      <c r="Q418" s="157" t="str">
        <f t="shared" si="66"/>
        <v/>
      </c>
      <c r="R418" s="157" t="str">
        <f t="shared" si="67"/>
        <v/>
      </c>
    </row>
    <row r="419" spans="1:18" ht="38.25" customHeight="1" x14ac:dyDescent="0.25">
      <c r="A419" s="271" t="s">
        <v>20</v>
      </c>
      <c r="B419" s="256" t="s">
        <v>112</v>
      </c>
      <c r="C419" s="271" t="s">
        <v>10</v>
      </c>
      <c r="D419" s="271" t="s">
        <v>79</v>
      </c>
      <c r="E419" s="362" t="s">
        <v>27</v>
      </c>
      <c r="F419" s="362"/>
      <c r="G419" s="255" t="s">
        <v>28</v>
      </c>
      <c r="H419" s="258">
        <v>1</v>
      </c>
      <c r="I419" s="257">
        <f>SUMIF(L:L,$L419,M:M)</f>
        <v>7.0000000000000007E-2</v>
      </c>
      <c r="J419" s="257">
        <f>TRUNC(H419*I419,2)</f>
        <v>7.0000000000000007E-2</v>
      </c>
      <c r="L419" s="145">
        <f t="shared" si="61"/>
        <v>48</v>
      </c>
      <c r="M419" s="156" t="str">
        <f t="shared" si="62"/>
        <v/>
      </c>
      <c r="N419" s="157" t="str">
        <f t="shared" si="63"/>
        <v/>
      </c>
      <c r="O419" s="157" t="str">
        <f t="shared" si="64"/>
        <v/>
      </c>
      <c r="P419" s="158" t="str">
        <f t="shared" si="65"/>
        <v xml:space="preserve"> 95389 </v>
      </c>
      <c r="Q419" s="157">
        <f t="shared" si="66"/>
        <v>7.0000000000000007E-2</v>
      </c>
      <c r="R419" s="157">
        <f t="shared" si="67"/>
        <v>0</v>
      </c>
    </row>
    <row r="420" spans="1:18" ht="39.6" customHeight="1" x14ac:dyDescent="0.25">
      <c r="A420" s="273" t="s">
        <v>31</v>
      </c>
      <c r="B420" s="265" t="s">
        <v>113</v>
      </c>
      <c r="C420" s="273" t="str">
        <f>VLOOKUP(B420,INSUMOS!$A:$I,2,FALSE)</f>
        <v>SINAPI</v>
      </c>
      <c r="D420" s="273" t="str">
        <f>VLOOKUP(B420,INSUMOS!$A:$I,3,FALSE)</f>
        <v>OPERADOR DE BETONEIRA ESTACIONARIA / MISTURADOR</v>
      </c>
      <c r="E420" s="361" t="str">
        <f>VLOOKUP(B420,INSUMOS!$A:$I,4,FALSE)</f>
        <v>Mão de Obra</v>
      </c>
      <c r="F420" s="361"/>
      <c r="G420" s="264" t="str">
        <f>VLOOKUP(B420,INSUMOS!$A:$I,5,FALSE)</f>
        <v>H</v>
      </c>
      <c r="H420" s="267">
        <v>5.8999999999999999E-3</v>
      </c>
      <c r="I420" s="266">
        <f>VLOOKUP(B420,INSUMOS!$A:$I,8,FALSE)</f>
        <v>12.52</v>
      </c>
      <c r="J420" s="266">
        <f>TRUNC(H420*I420,2)</f>
        <v>7.0000000000000007E-2</v>
      </c>
      <c r="L420" s="145">
        <f t="shared" si="61"/>
        <v>48</v>
      </c>
      <c r="M420" s="156">
        <f t="shared" si="62"/>
        <v>7.0000000000000007E-2</v>
      </c>
      <c r="N420" s="157">
        <f t="shared" si="63"/>
        <v>7.0000000000000007E-2</v>
      </c>
      <c r="O420" s="157" t="str">
        <f t="shared" si="64"/>
        <v/>
      </c>
      <c r="P420" s="158" t="str">
        <f t="shared" si="65"/>
        <v/>
      </c>
      <c r="Q420" s="157" t="str">
        <f t="shared" si="66"/>
        <v/>
      </c>
      <c r="R420" s="157" t="str">
        <f t="shared" si="67"/>
        <v/>
      </c>
    </row>
    <row r="421" spans="1:18" x14ac:dyDescent="0.25">
      <c r="A421" s="274"/>
      <c r="B421" s="274"/>
      <c r="C421" s="274"/>
      <c r="D421" s="274"/>
      <c r="E421" s="274"/>
      <c r="F421" s="268"/>
      <c r="G421" s="274"/>
      <c r="H421" s="268"/>
      <c r="I421" s="274"/>
      <c r="J421" s="268"/>
      <c r="L421" s="145">
        <f t="shared" si="61"/>
        <v>48</v>
      </c>
      <c r="M421" s="156" t="str">
        <f t="shared" si="62"/>
        <v/>
      </c>
      <c r="N421" s="157" t="str">
        <f t="shared" si="63"/>
        <v/>
      </c>
      <c r="O421" s="157" t="str">
        <f t="shared" si="64"/>
        <v/>
      </c>
      <c r="P421" s="158" t="str">
        <f t="shared" si="65"/>
        <v/>
      </c>
      <c r="Q421" s="157" t="str">
        <f t="shared" si="66"/>
        <v/>
      </c>
      <c r="R421" s="157" t="str">
        <f t="shared" si="67"/>
        <v/>
      </c>
    </row>
    <row r="422" spans="1:18" ht="14.4" thickBot="1" x14ac:dyDescent="0.3">
      <c r="A422" s="274"/>
      <c r="B422" s="274"/>
      <c r="C422" s="274"/>
      <c r="D422" s="274"/>
      <c r="E422" s="274"/>
      <c r="F422" s="268"/>
      <c r="G422" s="274"/>
      <c r="H422" s="350"/>
      <c r="I422" s="350"/>
      <c r="J422" s="268"/>
      <c r="L422" s="145">
        <f t="shared" si="61"/>
        <v>48</v>
      </c>
      <c r="M422" s="156" t="str">
        <f t="shared" si="62"/>
        <v/>
      </c>
      <c r="N422" s="157" t="str">
        <f t="shared" si="63"/>
        <v/>
      </c>
      <c r="O422" s="157" t="str">
        <f t="shared" si="64"/>
        <v/>
      </c>
      <c r="P422" s="158" t="str">
        <f t="shared" si="65"/>
        <v/>
      </c>
      <c r="Q422" s="157" t="str">
        <f t="shared" si="66"/>
        <v/>
      </c>
      <c r="R422" s="157" t="str">
        <f t="shared" si="67"/>
        <v/>
      </c>
    </row>
    <row r="423" spans="1:18" ht="25.5" customHeight="1" thickTop="1" x14ac:dyDescent="0.25">
      <c r="A423" s="259"/>
      <c r="B423" s="259"/>
      <c r="C423" s="259"/>
      <c r="D423" s="259"/>
      <c r="E423" s="259"/>
      <c r="F423" s="259"/>
      <c r="G423" s="259"/>
      <c r="H423" s="259"/>
      <c r="I423" s="259"/>
      <c r="J423" s="259"/>
      <c r="L423" s="145">
        <f t="shared" si="61"/>
        <v>48</v>
      </c>
      <c r="M423" s="156" t="str">
        <f t="shared" si="62"/>
        <v/>
      </c>
      <c r="N423" s="157" t="str">
        <f t="shared" si="63"/>
        <v/>
      </c>
      <c r="O423" s="157" t="str">
        <f t="shared" si="64"/>
        <v/>
      </c>
      <c r="P423" s="158" t="str">
        <f t="shared" si="65"/>
        <v/>
      </c>
      <c r="Q423" s="157" t="str">
        <f t="shared" si="66"/>
        <v/>
      </c>
      <c r="R423" s="157" t="str">
        <f t="shared" si="67"/>
        <v/>
      </c>
    </row>
    <row r="424" spans="1:18" ht="15" customHeight="1" x14ac:dyDescent="0.25">
      <c r="A424" s="270"/>
      <c r="B424" s="254" t="s">
        <v>1</v>
      </c>
      <c r="C424" s="270" t="s">
        <v>2</v>
      </c>
      <c r="D424" s="270" t="s">
        <v>3</v>
      </c>
      <c r="E424" s="347" t="s">
        <v>19</v>
      </c>
      <c r="F424" s="347"/>
      <c r="G424" s="253" t="s">
        <v>4</v>
      </c>
      <c r="H424" s="254" t="s">
        <v>5</v>
      </c>
      <c r="I424" s="254" t="s">
        <v>6</v>
      </c>
      <c r="J424" s="254" t="s">
        <v>7</v>
      </c>
      <c r="L424" s="145">
        <f t="shared" si="61"/>
        <v>49</v>
      </c>
      <c r="M424" s="156" t="str">
        <f t="shared" si="62"/>
        <v/>
      </c>
      <c r="N424" s="157" t="str">
        <f t="shared" si="63"/>
        <v/>
      </c>
      <c r="O424" s="157" t="str">
        <f t="shared" si="64"/>
        <v/>
      </c>
      <c r="P424" s="158" t="str">
        <f t="shared" si="65"/>
        <v/>
      </c>
      <c r="Q424" s="157" t="str">
        <f t="shared" si="66"/>
        <v/>
      </c>
      <c r="R424" s="157" t="str">
        <f t="shared" si="67"/>
        <v/>
      </c>
    </row>
    <row r="425" spans="1:18" ht="15" customHeight="1" x14ac:dyDescent="0.25">
      <c r="A425" s="271" t="s">
        <v>20</v>
      </c>
      <c r="B425" s="256" t="s">
        <v>734</v>
      </c>
      <c r="C425" s="271" t="s">
        <v>10</v>
      </c>
      <c r="D425" s="271" t="s">
        <v>735</v>
      </c>
      <c r="E425" s="362" t="s">
        <v>27</v>
      </c>
      <c r="F425" s="362"/>
      <c r="G425" s="255" t="s">
        <v>28</v>
      </c>
      <c r="H425" s="258">
        <v>1</v>
      </c>
      <c r="I425" s="257">
        <f>SUMIF(L:L,$L425,M:M)</f>
        <v>0.08</v>
      </c>
      <c r="J425" s="257">
        <f>TRUNC(H425*I425,2)</f>
        <v>0.08</v>
      </c>
      <c r="L425" s="145">
        <f t="shared" si="61"/>
        <v>49</v>
      </c>
      <c r="M425" s="156" t="str">
        <f t="shared" si="62"/>
        <v/>
      </c>
      <c r="N425" s="157" t="str">
        <f t="shared" si="63"/>
        <v/>
      </c>
      <c r="O425" s="157" t="str">
        <f t="shared" si="64"/>
        <v/>
      </c>
      <c r="P425" s="158" t="str">
        <f t="shared" si="65"/>
        <v xml:space="preserve"> 95361 </v>
      </c>
      <c r="Q425" s="157">
        <f t="shared" si="66"/>
        <v>0.08</v>
      </c>
      <c r="R425" s="157">
        <f t="shared" si="67"/>
        <v>0</v>
      </c>
    </row>
    <row r="426" spans="1:18" x14ac:dyDescent="0.25">
      <c r="A426" s="273" t="s">
        <v>31</v>
      </c>
      <c r="B426" s="265" t="s">
        <v>507</v>
      </c>
      <c r="C426" s="273" t="str">
        <f>VLOOKUP(B426,INSUMOS!$A:$I,2,FALSE)</f>
        <v>SINAPI</v>
      </c>
      <c r="D426" s="273" t="str">
        <f>VLOOKUP(B426,INSUMOS!$A:$I,3,FALSE)</f>
        <v>OPERADOR DE MARTELETE OU MARTELETEIRO</v>
      </c>
      <c r="E426" s="361" t="str">
        <f>VLOOKUP(B426,INSUMOS!$A:$I,4,FALSE)</f>
        <v>Mão de Obra</v>
      </c>
      <c r="F426" s="361"/>
      <c r="G426" s="264" t="str">
        <f>VLOOKUP(B426,INSUMOS!$A:$I,5,FALSE)</f>
        <v>H</v>
      </c>
      <c r="H426" s="267">
        <v>5.8999999999999999E-3</v>
      </c>
      <c r="I426" s="266">
        <f>VLOOKUP(B426,INSUMOS!$A:$I,8,FALSE)</f>
        <v>13.67</v>
      </c>
      <c r="J426" s="266">
        <f>TRUNC(H426*I426,2)</f>
        <v>0.08</v>
      </c>
      <c r="L426" s="145">
        <f t="shared" si="61"/>
        <v>49</v>
      </c>
      <c r="M426" s="156">
        <f t="shared" si="62"/>
        <v>0.08</v>
      </c>
      <c r="N426" s="157">
        <f t="shared" si="63"/>
        <v>0.08</v>
      </c>
      <c r="O426" s="157" t="str">
        <f t="shared" si="64"/>
        <v/>
      </c>
      <c r="P426" s="158" t="str">
        <f t="shared" si="65"/>
        <v/>
      </c>
      <c r="Q426" s="157" t="str">
        <f t="shared" si="66"/>
        <v/>
      </c>
      <c r="R426" s="157" t="str">
        <f t="shared" si="67"/>
        <v/>
      </c>
    </row>
    <row r="427" spans="1:18" x14ac:dyDescent="0.25">
      <c r="A427" s="274"/>
      <c r="B427" s="274"/>
      <c r="C427" s="274"/>
      <c r="D427" s="274"/>
      <c r="E427" s="274"/>
      <c r="F427" s="268"/>
      <c r="G427" s="274"/>
      <c r="H427" s="268"/>
      <c r="I427" s="274"/>
      <c r="J427" s="268"/>
      <c r="L427" s="145">
        <f t="shared" si="61"/>
        <v>49</v>
      </c>
      <c r="M427" s="156" t="str">
        <f t="shared" si="62"/>
        <v/>
      </c>
      <c r="N427" s="157" t="str">
        <f t="shared" si="63"/>
        <v/>
      </c>
      <c r="O427" s="157" t="str">
        <f t="shared" si="64"/>
        <v/>
      </c>
      <c r="P427" s="158" t="str">
        <f t="shared" si="65"/>
        <v/>
      </c>
      <c r="Q427" s="157" t="str">
        <f t="shared" si="66"/>
        <v/>
      </c>
      <c r="R427" s="157" t="str">
        <f t="shared" si="67"/>
        <v/>
      </c>
    </row>
    <row r="428" spans="1:18" ht="38.25" customHeight="1" thickBot="1" x14ac:dyDescent="0.3">
      <c r="A428" s="274"/>
      <c r="B428" s="274"/>
      <c r="C428" s="274"/>
      <c r="D428" s="274"/>
      <c r="E428" s="274"/>
      <c r="F428" s="268"/>
      <c r="G428" s="274"/>
      <c r="H428" s="350"/>
      <c r="I428" s="350"/>
      <c r="J428" s="268"/>
      <c r="L428" s="145">
        <f t="shared" si="61"/>
        <v>49</v>
      </c>
      <c r="M428" s="156" t="str">
        <f t="shared" si="62"/>
        <v/>
      </c>
      <c r="N428" s="157" t="str">
        <f t="shared" si="63"/>
        <v/>
      </c>
      <c r="O428" s="157" t="str">
        <f t="shared" si="64"/>
        <v/>
      </c>
      <c r="P428" s="158" t="str">
        <f t="shared" si="65"/>
        <v/>
      </c>
      <c r="Q428" s="157" t="str">
        <f t="shared" si="66"/>
        <v/>
      </c>
      <c r="R428" s="157" t="str">
        <f t="shared" si="67"/>
        <v/>
      </c>
    </row>
    <row r="429" spans="1:18" ht="38.25" customHeight="1" thickTop="1" x14ac:dyDescent="0.25">
      <c r="A429" s="259"/>
      <c r="B429" s="259"/>
      <c r="C429" s="259"/>
      <c r="D429" s="259"/>
      <c r="E429" s="259"/>
      <c r="F429" s="259"/>
      <c r="G429" s="259"/>
      <c r="H429" s="259"/>
      <c r="I429" s="259"/>
      <c r="J429" s="259"/>
      <c r="L429" s="145">
        <f t="shared" si="61"/>
        <v>49</v>
      </c>
      <c r="M429" s="156" t="str">
        <f t="shared" si="62"/>
        <v/>
      </c>
      <c r="N429" s="157" t="str">
        <f t="shared" si="63"/>
        <v/>
      </c>
      <c r="O429" s="157" t="str">
        <f t="shared" si="64"/>
        <v/>
      </c>
      <c r="P429" s="158" t="str">
        <f t="shared" si="65"/>
        <v/>
      </c>
      <c r="Q429" s="157" t="str">
        <f t="shared" si="66"/>
        <v/>
      </c>
      <c r="R429" s="157" t="str">
        <f t="shared" si="67"/>
        <v/>
      </c>
    </row>
    <row r="430" spans="1:18" ht="26.4" customHeight="1" x14ac:dyDescent="0.25">
      <c r="A430" s="270"/>
      <c r="B430" s="254" t="s">
        <v>1</v>
      </c>
      <c r="C430" s="270" t="s">
        <v>2</v>
      </c>
      <c r="D430" s="270" t="s">
        <v>3</v>
      </c>
      <c r="E430" s="347" t="s">
        <v>19</v>
      </c>
      <c r="F430" s="347"/>
      <c r="G430" s="253" t="s">
        <v>4</v>
      </c>
      <c r="H430" s="254" t="s">
        <v>5</v>
      </c>
      <c r="I430" s="254" t="s">
        <v>6</v>
      </c>
      <c r="J430" s="254" t="s">
        <v>7</v>
      </c>
      <c r="L430" s="145">
        <f t="shared" si="61"/>
        <v>50</v>
      </c>
      <c r="M430" s="156" t="str">
        <f t="shared" si="62"/>
        <v/>
      </c>
      <c r="N430" s="157" t="str">
        <f t="shared" si="63"/>
        <v/>
      </c>
      <c r="O430" s="157" t="str">
        <f t="shared" si="64"/>
        <v/>
      </c>
      <c r="P430" s="158" t="str">
        <f t="shared" si="65"/>
        <v/>
      </c>
      <c r="Q430" s="157" t="str">
        <f t="shared" si="66"/>
        <v/>
      </c>
      <c r="R430" s="157" t="str">
        <f t="shared" si="67"/>
        <v/>
      </c>
    </row>
    <row r="431" spans="1:18" ht="15" customHeight="1" x14ac:dyDescent="0.25">
      <c r="A431" s="271" t="s">
        <v>20</v>
      </c>
      <c r="B431" s="256" t="s">
        <v>114</v>
      </c>
      <c r="C431" s="271" t="s">
        <v>10</v>
      </c>
      <c r="D431" s="271" t="s">
        <v>78</v>
      </c>
      <c r="E431" s="362" t="s">
        <v>27</v>
      </c>
      <c r="F431" s="362"/>
      <c r="G431" s="255" t="s">
        <v>28</v>
      </c>
      <c r="H431" s="258">
        <v>1</v>
      </c>
      <c r="I431" s="257">
        <f>SUMIF(L:L,$L431,M:M)</f>
        <v>0.26</v>
      </c>
      <c r="J431" s="257">
        <f>TRUNC(H431*I431,2)</f>
        <v>0.26</v>
      </c>
      <c r="L431" s="145">
        <f t="shared" si="61"/>
        <v>50</v>
      </c>
      <c r="M431" s="156" t="str">
        <f t="shared" si="62"/>
        <v/>
      </c>
      <c r="N431" s="157" t="str">
        <f t="shared" si="63"/>
        <v/>
      </c>
      <c r="O431" s="157" t="str">
        <f t="shared" si="64"/>
        <v/>
      </c>
      <c r="P431" s="158" t="str">
        <f t="shared" si="65"/>
        <v xml:space="preserve"> 95371 </v>
      </c>
      <c r="Q431" s="157">
        <f t="shared" si="66"/>
        <v>0.26</v>
      </c>
      <c r="R431" s="157">
        <f t="shared" si="67"/>
        <v>0</v>
      </c>
    </row>
    <row r="432" spans="1:18" x14ac:dyDescent="0.25">
      <c r="A432" s="273" t="s">
        <v>31</v>
      </c>
      <c r="B432" s="265" t="s">
        <v>115</v>
      </c>
      <c r="C432" s="273" t="str">
        <f>VLOOKUP(B432,INSUMOS!$A:$I,2,FALSE)</f>
        <v>SINAPI</v>
      </c>
      <c r="D432" s="273" t="str">
        <f>VLOOKUP(B432,INSUMOS!$A:$I,3,FALSE)</f>
        <v>PEDREIRO</v>
      </c>
      <c r="E432" s="361" t="str">
        <f>VLOOKUP(B432,INSUMOS!$A:$I,4,FALSE)</f>
        <v>Mão de Obra</v>
      </c>
      <c r="F432" s="361"/>
      <c r="G432" s="264" t="str">
        <f>VLOOKUP(B432,INSUMOS!$A:$I,5,FALSE)</f>
        <v>H</v>
      </c>
      <c r="H432" s="267">
        <v>1.5100000000000001E-2</v>
      </c>
      <c r="I432" s="266">
        <f>VLOOKUP(B432,INSUMOS!$A:$I,8,FALSE)</f>
        <v>17.52</v>
      </c>
      <c r="J432" s="266">
        <f>TRUNC(H432*I432,2)</f>
        <v>0.26</v>
      </c>
      <c r="L432" s="145">
        <f t="shared" si="61"/>
        <v>50</v>
      </c>
      <c r="M432" s="156">
        <f t="shared" si="62"/>
        <v>0.26</v>
      </c>
      <c r="N432" s="157">
        <f t="shared" si="63"/>
        <v>0.26</v>
      </c>
      <c r="O432" s="157" t="str">
        <f t="shared" si="64"/>
        <v/>
      </c>
      <c r="P432" s="158" t="str">
        <f t="shared" si="65"/>
        <v/>
      </c>
      <c r="Q432" s="157" t="str">
        <f t="shared" si="66"/>
        <v/>
      </c>
      <c r="R432" s="157" t="str">
        <f t="shared" si="67"/>
        <v/>
      </c>
    </row>
    <row r="433" spans="1:18" ht="26.4" customHeight="1" x14ac:dyDescent="0.25">
      <c r="A433" s="274"/>
      <c r="B433" s="274"/>
      <c r="C433" s="274"/>
      <c r="D433" s="274"/>
      <c r="E433" s="274"/>
      <c r="F433" s="268"/>
      <c r="G433" s="274"/>
      <c r="H433" s="268"/>
      <c r="I433" s="274"/>
      <c r="J433" s="268"/>
      <c r="L433" s="145">
        <f t="shared" si="61"/>
        <v>50</v>
      </c>
      <c r="M433" s="156" t="str">
        <f t="shared" si="62"/>
        <v/>
      </c>
      <c r="N433" s="157" t="str">
        <f t="shared" si="63"/>
        <v/>
      </c>
      <c r="O433" s="157" t="str">
        <f t="shared" si="64"/>
        <v/>
      </c>
      <c r="P433" s="158" t="str">
        <f t="shared" si="65"/>
        <v/>
      </c>
      <c r="Q433" s="157" t="str">
        <f t="shared" si="66"/>
        <v/>
      </c>
      <c r="R433" s="157" t="str">
        <f t="shared" si="67"/>
        <v/>
      </c>
    </row>
    <row r="434" spans="1:18" ht="14.4" thickBot="1" x14ac:dyDescent="0.3">
      <c r="A434" s="274"/>
      <c r="B434" s="274"/>
      <c r="C434" s="274"/>
      <c r="D434" s="274"/>
      <c r="E434" s="274"/>
      <c r="F434" s="268"/>
      <c r="G434" s="274"/>
      <c r="H434" s="350"/>
      <c r="I434" s="350"/>
      <c r="J434" s="268"/>
      <c r="L434" s="145">
        <f t="shared" si="61"/>
        <v>50</v>
      </c>
      <c r="M434" s="156" t="str">
        <f t="shared" si="62"/>
        <v/>
      </c>
      <c r="N434" s="157" t="str">
        <f t="shared" si="63"/>
        <v/>
      </c>
      <c r="O434" s="157" t="str">
        <f t="shared" si="64"/>
        <v/>
      </c>
      <c r="P434" s="158" t="str">
        <f t="shared" si="65"/>
        <v/>
      </c>
      <c r="Q434" s="157" t="str">
        <f t="shared" si="66"/>
        <v/>
      </c>
      <c r="R434" s="157" t="str">
        <f t="shared" si="67"/>
        <v/>
      </c>
    </row>
    <row r="435" spans="1:18" ht="15" customHeight="1" thickTop="1" x14ac:dyDescent="0.25">
      <c r="A435" s="259"/>
      <c r="B435" s="259"/>
      <c r="C435" s="259"/>
      <c r="D435" s="259"/>
      <c r="E435" s="259"/>
      <c r="F435" s="259"/>
      <c r="G435" s="259"/>
      <c r="H435" s="259"/>
      <c r="I435" s="259"/>
      <c r="J435" s="259"/>
      <c r="L435" s="145">
        <f t="shared" si="61"/>
        <v>50</v>
      </c>
      <c r="M435" s="156" t="str">
        <f t="shared" si="62"/>
        <v/>
      </c>
      <c r="N435" s="157" t="str">
        <f t="shared" si="63"/>
        <v/>
      </c>
      <c r="O435" s="157" t="str">
        <f t="shared" si="64"/>
        <v/>
      </c>
      <c r="P435" s="158" t="str">
        <f t="shared" si="65"/>
        <v/>
      </c>
      <c r="Q435" s="157" t="str">
        <f t="shared" si="66"/>
        <v/>
      </c>
      <c r="R435" s="157" t="str">
        <f t="shared" si="67"/>
        <v/>
      </c>
    </row>
    <row r="436" spans="1:18" x14ac:dyDescent="0.25">
      <c r="A436" s="270"/>
      <c r="B436" s="254" t="s">
        <v>1</v>
      </c>
      <c r="C436" s="270" t="s">
        <v>2</v>
      </c>
      <c r="D436" s="270" t="s">
        <v>3</v>
      </c>
      <c r="E436" s="347" t="s">
        <v>19</v>
      </c>
      <c r="F436" s="347"/>
      <c r="G436" s="253" t="s">
        <v>4</v>
      </c>
      <c r="H436" s="254" t="s">
        <v>5</v>
      </c>
      <c r="I436" s="254" t="s">
        <v>6</v>
      </c>
      <c r="J436" s="254" t="s">
        <v>7</v>
      </c>
      <c r="L436" s="145">
        <f t="shared" si="61"/>
        <v>51</v>
      </c>
      <c r="M436" s="156" t="str">
        <f t="shared" si="62"/>
        <v/>
      </c>
      <c r="N436" s="157" t="str">
        <f t="shared" si="63"/>
        <v/>
      </c>
      <c r="O436" s="157" t="str">
        <f t="shared" si="64"/>
        <v/>
      </c>
      <c r="P436" s="158" t="str">
        <f t="shared" si="65"/>
        <v/>
      </c>
      <c r="Q436" s="157" t="str">
        <f t="shared" si="66"/>
        <v/>
      </c>
      <c r="R436" s="157" t="str">
        <f t="shared" si="67"/>
        <v/>
      </c>
    </row>
    <row r="437" spans="1:18" ht="26.4" x14ac:dyDescent="0.25">
      <c r="A437" s="271" t="s">
        <v>20</v>
      </c>
      <c r="B437" s="256" t="s">
        <v>116</v>
      </c>
      <c r="C437" s="271" t="s">
        <v>10</v>
      </c>
      <c r="D437" s="271" t="s">
        <v>77</v>
      </c>
      <c r="E437" s="362" t="s">
        <v>27</v>
      </c>
      <c r="F437" s="362"/>
      <c r="G437" s="255" t="s">
        <v>28</v>
      </c>
      <c r="H437" s="258">
        <v>1</v>
      </c>
      <c r="I437" s="257">
        <f>SUMIF(L:L,$L437,M:M)</f>
        <v>0.18</v>
      </c>
      <c r="J437" s="257">
        <f>TRUNC(H437*I437,2)</f>
        <v>0.18</v>
      </c>
      <c r="L437" s="145">
        <f t="shared" si="61"/>
        <v>51</v>
      </c>
      <c r="M437" s="156" t="str">
        <f t="shared" si="62"/>
        <v/>
      </c>
      <c r="N437" s="157" t="str">
        <f t="shared" si="63"/>
        <v/>
      </c>
      <c r="O437" s="157" t="str">
        <f t="shared" si="64"/>
        <v/>
      </c>
      <c r="P437" s="158" t="str">
        <f t="shared" si="65"/>
        <v xml:space="preserve"> 95372 </v>
      </c>
      <c r="Q437" s="157">
        <f t="shared" si="66"/>
        <v>0.18</v>
      </c>
      <c r="R437" s="157">
        <f t="shared" si="67"/>
        <v>0</v>
      </c>
    </row>
    <row r="438" spans="1:18" x14ac:dyDescent="0.25">
      <c r="A438" s="273" t="s">
        <v>31</v>
      </c>
      <c r="B438" s="265" t="s">
        <v>117</v>
      </c>
      <c r="C438" s="273" t="str">
        <f>VLOOKUP(B438,INSUMOS!$A:$I,2,FALSE)</f>
        <v>SINAPI</v>
      </c>
      <c r="D438" s="273" t="str">
        <f>VLOOKUP(B438,INSUMOS!$A:$I,3,FALSE)</f>
        <v>PINTOR</v>
      </c>
      <c r="E438" s="361" t="str">
        <f>VLOOKUP(B438,INSUMOS!$A:$I,4,FALSE)</f>
        <v>Mão de Obra</v>
      </c>
      <c r="F438" s="361"/>
      <c r="G438" s="264" t="str">
        <f>VLOOKUP(B438,INSUMOS!$A:$I,5,FALSE)</f>
        <v>H</v>
      </c>
      <c r="H438" s="267">
        <v>1.0500000000000001E-2</v>
      </c>
      <c r="I438" s="266">
        <f>VLOOKUP(B438,INSUMOS!$A:$I,8,FALSE)</f>
        <v>17.52</v>
      </c>
      <c r="J438" s="266">
        <f>TRUNC(H438*I438,2)</f>
        <v>0.18</v>
      </c>
      <c r="L438" s="145">
        <f t="shared" si="61"/>
        <v>51</v>
      </c>
      <c r="M438" s="156">
        <f t="shared" si="62"/>
        <v>0.18</v>
      </c>
      <c r="N438" s="157">
        <f t="shared" si="63"/>
        <v>0.18</v>
      </c>
      <c r="O438" s="157" t="str">
        <f t="shared" si="64"/>
        <v/>
      </c>
      <c r="P438" s="158" t="str">
        <f t="shared" si="65"/>
        <v/>
      </c>
      <c r="Q438" s="157" t="str">
        <f t="shared" si="66"/>
        <v/>
      </c>
      <c r="R438" s="157" t="str">
        <f t="shared" si="67"/>
        <v/>
      </c>
    </row>
    <row r="439" spans="1:18" ht="38.25" customHeight="1" x14ac:dyDescent="0.25">
      <c r="A439" s="274"/>
      <c r="B439" s="274"/>
      <c r="C439" s="274"/>
      <c r="D439" s="274"/>
      <c r="E439" s="274"/>
      <c r="F439" s="268"/>
      <c r="G439" s="274"/>
      <c r="H439" s="268"/>
      <c r="I439" s="274"/>
      <c r="J439" s="268"/>
      <c r="L439" s="145">
        <f t="shared" si="61"/>
        <v>51</v>
      </c>
      <c r="M439" s="156" t="str">
        <f t="shared" si="62"/>
        <v/>
      </c>
      <c r="N439" s="157" t="str">
        <f t="shared" si="63"/>
        <v/>
      </c>
      <c r="O439" s="157" t="str">
        <f t="shared" si="64"/>
        <v/>
      </c>
      <c r="P439" s="158" t="str">
        <f t="shared" si="65"/>
        <v/>
      </c>
      <c r="Q439" s="157" t="str">
        <f t="shared" si="66"/>
        <v/>
      </c>
      <c r="R439" s="157" t="str">
        <f t="shared" si="67"/>
        <v/>
      </c>
    </row>
    <row r="440" spans="1:18" ht="38.25" customHeight="1" thickBot="1" x14ac:dyDescent="0.3">
      <c r="A440" s="274"/>
      <c r="B440" s="274"/>
      <c r="C440" s="274"/>
      <c r="D440" s="274"/>
      <c r="E440" s="274"/>
      <c r="F440" s="268"/>
      <c r="G440" s="274"/>
      <c r="H440" s="350"/>
      <c r="I440" s="350"/>
      <c r="J440" s="268"/>
      <c r="L440" s="145">
        <f t="shared" si="61"/>
        <v>51</v>
      </c>
      <c r="M440" s="156" t="str">
        <f t="shared" si="62"/>
        <v/>
      </c>
      <c r="N440" s="157" t="str">
        <f t="shared" si="63"/>
        <v/>
      </c>
      <c r="O440" s="157" t="str">
        <f t="shared" si="64"/>
        <v/>
      </c>
      <c r="P440" s="158" t="str">
        <f t="shared" si="65"/>
        <v/>
      </c>
      <c r="Q440" s="157" t="str">
        <f t="shared" si="66"/>
        <v/>
      </c>
      <c r="R440" s="157" t="str">
        <f t="shared" si="67"/>
        <v/>
      </c>
    </row>
    <row r="441" spans="1:18" ht="38.25" customHeight="1" thickTop="1" x14ac:dyDescent="0.25">
      <c r="A441" s="259"/>
      <c r="B441" s="259"/>
      <c r="C441" s="259"/>
      <c r="D441" s="259"/>
      <c r="E441" s="259"/>
      <c r="F441" s="259"/>
      <c r="G441" s="259"/>
      <c r="H441" s="259"/>
      <c r="I441" s="259"/>
      <c r="J441" s="259"/>
      <c r="L441" s="145">
        <f t="shared" si="61"/>
        <v>51</v>
      </c>
      <c r="M441" s="156" t="str">
        <f t="shared" si="62"/>
        <v/>
      </c>
      <c r="N441" s="157" t="str">
        <f t="shared" si="63"/>
        <v/>
      </c>
      <c r="O441" s="157" t="str">
        <f t="shared" si="64"/>
        <v/>
      </c>
      <c r="P441" s="158" t="str">
        <f t="shared" si="65"/>
        <v/>
      </c>
      <c r="Q441" s="157" t="str">
        <f t="shared" si="66"/>
        <v/>
      </c>
      <c r="R441" s="157" t="str">
        <f t="shared" si="67"/>
        <v/>
      </c>
    </row>
    <row r="442" spans="1:18" x14ac:dyDescent="0.25">
      <c r="A442" s="270"/>
      <c r="B442" s="254" t="s">
        <v>1</v>
      </c>
      <c r="C442" s="270" t="s">
        <v>2</v>
      </c>
      <c r="D442" s="270" t="s">
        <v>3</v>
      </c>
      <c r="E442" s="347" t="s">
        <v>19</v>
      </c>
      <c r="F442" s="347"/>
      <c r="G442" s="253" t="s">
        <v>4</v>
      </c>
      <c r="H442" s="254" t="s">
        <v>5</v>
      </c>
      <c r="I442" s="254" t="s">
        <v>6</v>
      </c>
      <c r="J442" s="254" t="s">
        <v>7</v>
      </c>
      <c r="L442" s="145">
        <f t="shared" si="61"/>
        <v>52</v>
      </c>
      <c r="M442" s="156" t="str">
        <f t="shared" si="62"/>
        <v/>
      </c>
      <c r="N442" s="157" t="str">
        <f t="shared" si="63"/>
        <v/>
      </c>
      <c r="O442" s="157" t="str">
        <f t="shared" si="64"/>
        <v/>
      </c>
      <c r="P442" s="158" t="str">
        <f t="shared" si="65"/>
        <v/>
      </c>
      <c r="Q442" s="157" t="str">
        <f t="shared" si="66"/>
        <v/>
      </c>
      <c r="R442" s="157" t="str">
        <f t="shared" si="67"/>
        <v/>
      </c>
    </row>
    <row r="443" spans="1:18" ht="26.4" x14ac:dyDescent="0.25">
      <c r="A443" s="271" t="s">
        <v>20</v>
      </c>
      <c r="B443" s="256" t="s">
        <v>118</v>
      </c>
      <c r="C443" s="271" t="s">
        <v>10</v>
      </c>
      <c r="D443" s="271" t="s">
        <v>76</v>
      </c>
      <c r="E443" s="362" t="s">
        <v>27</v>
      </c>
      <c r="F443" s="362"/>
      <c r="G443" s="255" t="s">
        <v>28</v>
      </c>
      <c r="H443" s="258">
        <v>1</v>
      </c>
      <c r="I443" s="257">
        <f>SUMIF(L:L,$L443,M:M)</f>
        <v>0.17</v>
      </c>
      <c r="J443" s="257">
        <f>TRUNC(H443*I443,2)</f>
        <v>0.17</v>
      </c>
      <c r="L443" s="145">
        <f t="shared" si="61"/>
        <v>52</v>
      </c>
      <c r="M443" s="156" t="str">
        <f t="shared" si="62"/>
        <v/>
      </c>
      <c r="N443" s="157" t="str">
        <f t="shared" si="63"/>
        <v/>
      </c>
      <c r="O443" s="157" t="str">
        <f t="shared" si="64"/>
        <v/>
      </c>
      <c r="P443" s="158" t="str">
        <f t="shared" si="65"/>
        <v xml:space="preserve"> 95378 </v>
      </c>
      <c r="Q443" s="157">
        <f t="shared" si="66"/>
        <v>0.17</v>
      </c>
      <c r="R443" s="157">
        <f t="shared" si="67"/>
        <v>0</v>
      </c>
    </row>
    <row r="444" spans="1:18" x14ac:dyDescent="0.25">
      <c r="A444" s="273" t="s">
        <v>31</v>
      </c>
      <c r="B444" s="265" t="s">
        <v>119</v>
      </c>
      <c r="C444" s="273" t="str">
        <f>VLOOKUP(B444,INSUMOS!$A:$I,2,FALSE)</f>
        <v>SINAPI</v>
      </c>
      <c r="D444" s="273" t="str">
        <f>VLOOKUP(B444,INSUMOS!$A:$I,3,FALSE)</f>
        <v>SERVENTE DE OBRAS</v>
      </c>
      <c r="E444" s="361" t="str">
        <f>VLOOKUP(B444,INSUMOS!$A:$I,4,FALSE)</f>
        <v>Mão de Obra</v>
      </c>
      <c r="F444" s="361"/>
      <c r="G444" s="264" t="str">
        <f>VLOOKUP(B444,INSUMOS!$A:$I,5,FALSE)</f>
        <v>H</v>
      </c>
      <c r="H444" s="267">
        <v>1.5100000000000001E-2</v>
      </c>
      <c r="I444" s="266">
        <f>VLOOKUP(B444,INSUMOS!$A:$I,8,FALSE)</f>
        <v>11.43</v>
      </c>
      <c r="J444" s="266">
        <f>TRUNC(H444*I444,2)</f>
        <v>0.17</v>
      </c>
      <c r="L444" s="145">
        <f t="shared" si="61"/>
        <v>52</v>
      </c>
      <c r="M444" s="156">
        <f t="shared" si="62"/>
        <v>0.17</v>
      </c>
      <c r="N444" s="157">
        <f t="shared" si="63"/>
        <v>0.17</v>
      </c>
      <c r="O444" s="157" t="str">
        <f t="shared" si="64"/>
        <v/>
      </c>
      <c r="P444" s="158" t="str">
        <f t="shared" si="65"/>
        <v/>
      </c>
      <c r="Q444" s="157" t="str">
        <f t="shared" si="66"/>
        <v/>
      </c>
      <c r="R444" s="157" t="str">
        <f t="shared" si="67"/>
        <v/>
      </c>
    </row>
    <row r="445" spans="1:18" ht="15" customHeight="1" x14ac:dyDescent="0.25">
      <c r="A445" s="274"/>
      <c r="B445" s="274"/>
      <c r="C445" s="274"/>
      <c r="D445" s="274"/>
      <c r="E445" s="274"/>
      <c r="F445" s="268"/>
      <c r="G445" s="274"/>
      <c r="H445" s="268"/>
      <c r="I445" s="274"/>
      <c r="J445" s="268"/>
      <c r="L445" s="145">
        <f t="shared" si="61"/>
        <v>52</v>
      </c>
      <c r="M445" s="156" t="str">
        <f t="shared" si="62"/>
        <v/>
      </c>
      <c r="N445" s="157" t="str">
        <f t="shared" si="63"/>
        <v/>
      </c>
      <c r="O445" s="157" t="str">
        <f t="shared" si="64"/>
        <v/>
      </c>
      <c r="P445" s="158" t="str">
        <f t="shared" si="65"/>
        <v/>
      </c>
      <c r="Q445" s="157" t="str">
        <f t="shared" si="66"/>
        <v/>
      </c>
      <c r="R445" s="157" t="str">
        <f t="shared" si="67"/>
        <v/>
      </c>
    </row>
    <row r="446" spans="1:18" ht="14.4" thickBot="1" x14ac:dyDescent="0.3">
      <c r="A446" s="274"/>
      <c r="B446" s="274"/>
      <c r="C446" s="274"/>
      <c r="D446" s="274"/>
      <c r="E446" s="274"/>
      <c r="F446" s="268"/>
      <c r="G446" s="274"/>
      <c r="H446" s="350"/>
      <c r="I446" s="350"/>
      <c r="J446" s="268"/>
      <c r="L446" s="145">
        <f t="shared" si="61"/>
        <v>52</v>
      </c>
      <c r="M446" s="156" t="str">
        <f t="shared" si="62"/>
        <v/>
      </c>
      <c r="N446" s="157" t="str">
        <f t="shared" si="63"/>
        <v/>
      </c>
      <c r="O446" s="157" t="str">
        <f t="shared" si="64"/>
        <v/>
      </c>
      <c r="P446" s="158" t="str">
        <f t="shared" si="65"/>
        <v/>
      </c>
      <c r="Q446" s="157" t="str">
        <f t="shared" si="66"/>
        <v/>
      </c>
      <c r="R446" s="157" t="str">
        <f t="shared" si="67"/>
        <v/>
      </c>
    </row>
    <row r="447" spans="1:18" ht="25.5" customHeight="1" thickTop="1" x14ac:dyDescent="0.25">
      <c r="A447" s="259"/>
      <c r="B447" s="259"/>
      <c r="C447" s="259"/>
      <c r="D447" s="259"/>
      <c r="E447" s="259"/>
      <c r="F447" s="259"/>
      <c r="G447" s="259"/>
      <c r="H447" s="259"/>
      <c r="I447" s="259"/>
      <c r="J447" s="259"/>
      <c r="L447" s="145">
        <f t="shared" si="61"/>
        <v>52</v>
      </c>
      <c r="M447" s="156" t="str">
        <f t="shared" si="62"/>
        <v/>
      </c>
      <c r="N447" s="157" t="str">
        <f t="shared" si="63"/>
        <v/>
      </c>
      <c r="O447" s="157" t="str">
        <f t="shared" si="64"/>
        <v/>
      </c>
      <c r="P447" s="158" t="str">
        <f t="shared" si="65"/>
        <v/>
      </c>
      <c r="Q447" s="157" t="str">
        <f t="shared" si="66"/>
        <v/>
      </c>
      <c r="R447" s="157" t="str">
        <f t="shared" si="67"/>
        <v/>
      </c>
    </row>
    <row r="448" spans="1:18" x14ac:dyDescent="0.25">
      <c r="A448" s="270"/>
      <c r="B448" s="254" t="s">
        <v>1</v>
      </c>
      <c r="C448" s="270" t="s">
        <v>2</v>
      </c>
      <c r="D448" s="270" t="s">
        <v>3</v>
      </c>
      <c r="E448" s="347" t="s">
        <v>19</v>
      </c>
      <c r="F448" s="347"/>
      <c r="G448" s="253" t="s">
        <v>4</v>
      </c>
      <c r="H448" s="254" t="s">
        <v>5</v>
      </c>
      <c r="I448" s="254" t="s">
        <v>6</v>
      </c>
      <c r="J448" s="254" t="s">
        <v>7</v>
      </c>
      <c r="L448" s="145">
        <f t="shared" si="61"/>
        <v>53</v>
      </c>
      <c r="M448" s="156" t="str">
        <f t="shared" si="62"/>
        <v/>
      </c>
      <c r="N448" s="157" t="str">
        <f t="shared" si="63"/>
        <v/>
      </c>
      <c r="O448" s="157" t="str">
        <f t="shared" si="64"/>
        <v/>
      </c>
      <c r="P448" s="158" t="str">
        <f t="shared" si="65"/>
        <v/>
      </c>
      <c r="Q448" s="157" t="str">
        <f t="shared" si="66"/>
        <v/>
      </c>
      <c r="R448" s="157" t="str">
        <f t="shared" si="67"/>
        <v/>
      </c>
    </row>
    <row r="449" spans="1:18" ht="38.25" customHeight="1" x14ac:dyDescent="0.25">
      <c r="A449" s="271" t="s">
        <v>20</v>
      </c>
      <c r="B449" s="256" t="s">
        <v>652</v>
      </c>
      <c r="C449" s="271" t="s">
        <v>10</v>
      </c>
      <c r="D449" s="271" t="s">
        <v>653</v>
      </c>
      <c r="E449" s="362" t="s">
        <v>27</v>
      </c>
      <c r="F449" s="362"/>
      <c r="G449" s="255" t="s">
        <v>28</v>
      </c>
      <c r="H449" s="258">
        <v>1</v>
      </c>
      <c r="I449" s="257">
        <f>SUMIF(L:L,$L449,M:M)</f>
        <v>26.179999999999996</v>
      </c>
      <c r="J449" s="257">
        <f t="shared" ref="J449:J455" si="68">TRUNC(H449*I449,2)</f>
        <v>26.18</v>
      </c>
      <c r="L449" s="145">
        <f t="shared" si="61"/>
        <v>53</v>
      </c>
      <c r="M449" s="156" t="str">
        <f t="shared" si="62"/>
        <v/>
      </c>
      <c r="N449" s="157" t="str">
        <f t="shared" si="63"/>
        <v/>
      </c>
      <c r="O449" s="157" t="str">
        <f t="shared" si="64"/>
        <v/>
      </c>
      <c r="P449" s="158" t="str">
        <f t="shared" si="65"/>
        <v xml:space="preserve"> 90775 </v>
      </c>
      <c r="Q449" s="157">
        <f t="shared" si="66"/>
        <v>24.91</v>
      </c>
      <c r="R449" s="157">
        <f t="shared" si="67"/>
        <v>1.27</v>
      </c>
    </row>
    <row r="450" spans="1:18" ht="38.25" customHeight="1" x14ac:dyDescent="0.25">
      <c r="A450" s="272" t="s">
        <v>22</v>
      </c>
      <c r="B450" s="261" t="s">
        <v>726</v>
      </c>
      <c r="C450" s="272" t="s">
        <v>10</v>
      </c>
      <c r="D450" s="272" t="s">
        <v>727</v>
      </c>
      <c r="E450" s="363" t="s">
        <v>27</v>
      </c>
      <c r="F450" s="363"/>
      <c r="G450" s="260" t="s">
        <v>28</v>
      </c>
      <c r="H450" s="263">
        <v>1</v>
      </c>
      <c r="I450" s="262">
        <f>SUMIFS(J:J,A:A,"Composição",B:B,$B450)</f>
        <v>0.08</v>
      </c>
      <c r="J450" s="262">
        <f t="shared" si="68"/>
        <v>0.08</v>
      </c>
      <c r="L450" s="145">
        <f t="shared" si="61"/>
        <v>53</v>
      </c>
      <c r="M450" s="156">
        <f t="shared" si="62"/>
        <v>0.08</v>
      </c>
      <c r="N450" s="157" t="str">
        <f t="shared" si="63"/>
        <v/>
      </c>
      <c r="O450" s="157">
        <f t="shared" si="64"/>
        <v>0.08</v>
      </c>
      <c r="P450" s="158" t="str">
        <f t="shared" si="65"/>
        <v/>
      </c>
      <c r="Q450" s="157" t="str">
        <f t="shared" si="66"/>
        <v/>
      </c>
      <c r="R450" s="157" t="str">
        <f t="shared" si="67"/>
        <v/>
      </c>
    </row>
    <row r="451" spans="1:18" x14ac:dyDescent="0.25">
      <c r="A451" s="273" t="s">
        <v>31</v>
      </c>
      <c r="B451" s="265" t="s">
        <v>447</v>
      </c>
      <c r="C451" s="273" t="str">
        <f>VLOOKUP(B451,INSUMOS!$A:$I,2,FALSE)</f>
        <v>SINAPI</v>
      </c>
      <c r="D451" s="273" t="str">
        <f>VLOOKUP(B451,INSUMOS!$A:$I,3,FALSE)</f>
        <v>DESENHISTA PROJETISTA</v>
      </c>
      <c r="E451" s="361" t="str">
        <f>VLOOKUP(B451,INSUMOS!$A:$I,4,FALSE)</f>
        <v>Mão de Obra</v>
      </c>
      <c r="F451" s="361"/>
      <c r="G451" s="264" t="str">
        <f>VLOOKUP(B451,INSUMOS!$A:$I,5,FALSE)</f>
        <v>H</v>
      </c>
      <c r="H451" s="267">
        <v>1</v>
      </c>
      <c r="I451" s="266">
        <f>VLOOKUP(B451,INSUMOS!$A:$I,8,FALSE)</f>
        <v>24.91</v>
      </c>
      <c r="J451" s="266">
        <f t="shared" si="68"/>
        <v>24.91</v>
      </c>
      <c r="L451" s="145">
        <f t="shared" si="61"/>
        <v>53</v>
      </c>
      <c r="M451" s="156">
        <f t="shared" si="62"/>
        <v>24.91</v>
      </c>
      <c r="N451" s="157">
        <f t="shared" si="63"/>
        <v>24.91</v>
      </c>
      <c r="O451" s="157" t="str">
        <f t="shared" si="64"/>
        <v/>
      </c>
      <c r="P451" s="158" t="str">
        <f t="shared" si="65"/>
        <v/>
      </c>
      <c r="Q451" s="157" t="str">
        <f t="shared" si="66"/>
        <v/>
      </c>
      <c r="R451" s="157" t="str">
        <f t="shared" si="67"/>
        <v/>
      </c>
    </row>
    <row r="452" spans="1:18" ht="26.4" x14ac:dyDescent="0.25">
      <c r="A452" s="273" t="s">
        <v>31</v>
      </c>
      <c r="B452" s="265" t="s">
        <v>586</v>
      </c>
      <c r="C452" s="273" t="str">
        <f>VLOOKUP(B452,INSUMOS!$A:$I,2,FALSE)</f>
        <v>SINAPI</v>
      </c>
      <c r="D452" s="273" t="str">
        <f>VLOOKUP(B452,INSUMOS!$A:$I,3,FALSE)</f>
        <v>EPI - FAMILIA TOPOGRAFO - HORISTA (ENCARGOS COMPLEMENTARES - COLETADO CAIXA)</v>
      </c>
      <c r="E452" s="361" t="str">
        <f>VLOOKUP(B452,INSUMOS!$A:$I,4,FALSE)</f>
        <v>Equipamento</v>
      </c>
      <c r="F452" s="361"/>
      <c r="G452" s="264" t="str">
        <f>VLOOKUP(B452,INSUMOS!$A:$I,5,FALSE)</f>
        <v>H</v>
      </c>
      <c r="H452" s="267">
        <v>1</v>
      </c>
      <c r="I452" s="266">
        <f>VLOOKUP(B452,INSUMOS!$A:$I,8,FALSE)</f>
        <v>0.52</v>
      </c>
      <c r="J452" s="266">
        <f t="shared" si="68"/>
        <v>0.52</v>
      </c>
      <c r="L452" s="145">
        <f t="shared" si="61"/>
        <v>53</v>
      </c>
      <c r="M452" s="156">
        <f t="shared" si="62"/>
        <v>0.52</v>
      </c>
      <c r="N452" s="157" t="str">
        <f t="shared" si="63"/>
        <v/>
      </c>
      <c r="O452" s="157">
        <f t="shared" si="64"/>
        <v>0.52</v>
      </c>
      <c r="P452" s="158" t="str">
        <f t="shared" si="65"/>
        <v/>
      </c>
      <c r="Q452" s="157" t="str">
        <f t="shared" si="66"/>
        <v/>
      </c>
      <c r="R452" s="157" t="str">
        <f t="shared" si="67"/>
        <v/>
      </c>
    </row>
    <row r="453" spans="1:18" x14ac:dyDescent="0.25">
      <c r="A453" s="273" t="s">
        <v>31</v>
      </c>
      <c r="B453" s="265" t="s">
        <v>92</v>
      </c>
      <c r="C453" s="273" t="str">
        <f>VLOOKUP(B453,INSUMOS!$A:$I,2,FALSE)</f>
        <v>SINAPI</v>
      </c>
      <c r="D453" s="273" t="str">
        <f>VLOOKUP(B453,INSUMOS!$A:$I,3,FALSE)</f>
        <v>EXAMES - HORISTA (COLETADO CAIXA)</v>
      </c>
      <c r="E453" s="361" t="str">
        <f>VLOOKUP(B453,INSUMOS!$A:$I,4,FALSE)</f>
        <v>Outros</v>
      </c>
      <c r="F453" s="361"/>
      <c r="G453" s="264" t="str">
        <f>VLOOKUP(B453,INSUMOS!$A:$I,5,FALSE)</f>
        <v>H</v>
      </c>
      <c r="H453" s="267">
        <v>1</v>
      </c>
      <c r="I453" s="266">
        <f>VLOOKUP(B453,INSUMOS!$A:$I,8,FALSE)</f>
        <v>0.55000000000000004</v>
      </c>
      <c r="J453" s="266">
        <f t="shared" si="68"/>
        <v>0.55000000000000004</v>
      </c>
      <c r="L453" s="145">
        <f t="shared" si="61"/>
        <v>53</v>
      </c>
      <c r="M453" s="156">
        <f t="shared" si="62"/>
        <v>0.55000000000000004</v>
      </c>
      <c r="N453" s="157" t="str">
        <f t="shared" si="63"/>
        <v/>
      </c>
      <c r="O453" s="157">
        <f t="shared" si="64"/>
        <v>0.55000000000000004</v>
      </c>
      <c r="P453" s="158" t="str">
        <f t="shared" si="65"/>
        <v/>
      </c>
      <c r="Q453" s="157" t="str">
        <f t="shared" si="66"/>
        <v/>
      </c>
      <c r="R453" s="157" t="str">
        <f t="shared" si="67"/>
        <v/>
      </c>
    </row>
    <row r="454" spans="1:18" ht="26.4" x14ac:dyDescent="0.25">
      <c r="A454" s="273" t="s">
        <v>31</v>
      </c>
      <c r="B454" s="265" t="s">
        <v>622</v>
      </c>
      <c r="C454" s="273" t="str">
        <f>VLOOKUP(B454,INSUMOS!$A:$I,2,FALSE)</f>
        <v>SINAPI</v>
      </c>
      <c r="D454" s="273" t="str">
        <f>VLOOKUP(B454,INSUMOS!$A:$I,3,FALSE)</f>
        <v>FERRAMENTAS - FAMILIA TOPOGRAFO - HORISTA (ENCARGOS COMPLEMENTARES - COLETADO CAIXA)</v>
      </c>
      <c r="E454" s="361" t="str">
        <f>VLOOKUP(B454,INSUMOS!$A:$I,4,FALSE)</f>
        <v>Equipamento</v>
      </c>
      <c r="F454" s="361"/>
      <c r="G454" s="264" t="str">
        <f>VLOOKUP(B454,INSUMOS!$A:$I,5,FALSE)</f>
        <v>H</v>
      </c>
      <c r="H454" s="267">
        <v>1</v>
      </c>
      <c r="I454" s="266">
        <f>VLOOKUP(B454,INSUMOS!$A:$I,8,FALSE)</f>
        <v>0.06</v>
      </c>
      <c r="J454" s="266">
        <f t="shared" si="68"/>
        <v>0.06</v>
      </c>
      <c r="L454" s="145">
        <f t="shared" si="61"/>
        <v>53</v>
      </c>
      <c r="M454" s="156">
        <f t="shared" si="62"/>
        <v>0.06</v>
      </c>
      <c r="N454" s="157" t="str">
        <f t="shared" si="63"/>
        <v/>
      </c>
      <c r="O454" s="157">
        <f t="shared" si="64"/>
        <v>0.06</v>
      </c>
      <c r="P454" s="158" t="str">
        <f t="shared" si="65"/>
        <v/>
      </c>
      <c r="Q454" s="157" t="str">
        <f t="shared" si="66"/>
        <v/>
      </c>
      <c r="R454" s="157" t="str">
        <f t="shared" si="67"/>
        <v/>
      </c>
    </row>
    <row r="455" spans="1:18" ht="15" customHeight="1" x14ac:dyDescent="0.25">
      <c r="A455" s="273" t="s">
        <v>31</v>
      </c>
      <c r="B455" s="265" t="s">
        <v>94</v>
      </c>
      <c r="C455" s="273" t="str">
        <f>VLOOKUP(B455,INSUMOS!$A:$I,2,FALSE)</f>
        <v>SINAPI</v>
      </c>
      <c r="D455" s="273" t="str">
        <f>VLOOKUP(B455,INSUMOS!$A:$I,3,FALSE)</f>
        <v>SEGURO - HORISTA (COLETADO CAIXA)</v>
      </c>
      <c r="E455" s="361" t="str">
        <f>VLOOKUP(B455,INSUMOS!$A:$I,4,FALSE)</f>
        <v>Taxas</v>
      </c>
      <c r="F455" s="361"/>
      <c r="G455" s="264" t="str">
        <f>VLOOKUP(B455,INSUMOS!$A:$I,5,FALSE)</f>
        <v>H</v>
      </c>
      <c r="H455" s="267">
        <v>1</v>
      </c>
      <c r="I455" s="266">
        <f>VLOOKUP(B455,INSUMOS!$A:$I,8,FALSE)</f>
        <v>0.06</v>
      </c>
      <c r="J455" s="266">
        <f t="shared" si="68"/>
        <v>0.06</v>
      </c>
      <c r="L455" s="145">
        <f t="shared" si="61"/>
        <v>53</v>
      </c>
      <c r="M455" s="156">
        <f t="shared" si="62"/>
        <v>0.06</v>
      </c>
      <c r="N455" s="157" t="str">
        <f t="shared" si="63"/>
        <v/>
      </c>
      <c r="O455" s="157">
        <f t="shared" si="64"/>
        <v>0.06</v>
      </c>
      <c r="P455" s="158" t="str">
        <f t="shared" si="65"/>
        <v/>
      </c>
      <c r="Q455" s="157" t="str">
        <f t="shared" si="66"/>
        <v/>
      </c>
      <c r="R455" s="157" t="str">
        <f t="shared" si="67"/>
        <v/>
      </c>
    </row>
    <row r="456" spans="1:18" x14ac:dyDescent="0.25">
      <c r="A456" s="274"/>
      <c r="B456" s="274"/>
      <c r="C456" s="274"/>
      <c r="D456" s="274"/>
      <c r="E456" s="274"/>
      <c r="F456" s="268"/>
      <c r="G456" s="274"/>
      <c r="H456" s="268"/>
      <c r="I456" s="274"/>
      <c r="J456" s="268"/>
      <c r="L456" s="145">
        <f t="shared" si="61"/>
        <v>53</v>
      </c>
      <c r="M456" s="156" t="str">
        <f t="shared" si="62"/>
        <v/>
      </c>
      <c r="N456" s="157" t="str">
        <f t="shared" si="63"/>
        <v/>
      </c>
      <c r="O456" s="157" t="str">
        <f t="shared" si="64"/>
        <v/>
      </c>
      <c r="P456" s="158" t="str">
        <f t="shared" si="65"/>
        <v/>
      </c>
      <c r="Q456" s="157" t="str">
        <f t="shared" si="66"/>
        <v/>
      </c>
      <c r="R456" s="157" t="str">
        <f t="shared" si="67"/>
        <v/>
      </c>
    </row>
    <row r="457" spans="1:18" ht="14.4" thickBot="1" x14ac:dyDescent="0.3">
      <c r="A457" s="274"/>
      <c r="B457" s="274"/>
      <c r="C457" s="274"/>
      <c r="D457" s="274"/>
      <c r="E457" s="274"/>
      <c r="F457" s="268"/>
      <c r="G457" s="274"/>
      <c r="H457" s="350"/>
      <c r="I457" s="350"/>
      <c r="J457" s="268"/>
      <c r="L457" s="145">
        <f t="shared" si="61"/>
        <v>53</v>
      </c>
      <c r="M457" s="156" t="str">
        <f t="shared" si="62"/>
        <v/>
      </c>
      <c r="N457" s="157" t="str">
        <f t="shared" si="63"/>
        <v/>
      </c>
      <c r="O457" s="157" t="str">
        <f t="shared" si="64"/>
        <v/>
      </c>
      <c r="P457" s="158" t="str">
        <f t="shared" si="65"/>
        <v/>
      </c>
      <c r="Q457" s="157" t="str">
        <f t="shared" si="66"/>
        <v/>
      </c>
      <c r="R457" s="157" t="str">
        <f t="shared" si="67"/>
        <v/>
      </c>
    </row>
    <row r="458" spans="1:18" ht="15" customHeight="1" thickTop="1" x14ac:dyDescent="0.25">
      <c r="A458" s="259"/>
      <c r="B458" s="259"/>
      <c r="C458" s="259"/>
      <c r="D458" s="259"/>
      <c r="E458" s="259"/>
      <c r="F458" s="259"/>
      <c r="G458" s="259"/>
      <c r="H458" s="259"/>
      <c r="I458" s="259"/>
      <c r="J458" s="259"/>
      <c r="L458" s="145">
        <f t="shared" si="61"/>
        <v>53</v>
      </c>
      <c r="M458" s="156" t="str">
        <f t="shared" si="62"/>
        <v/>
      </c>
      <c r="N458" s="157" t="str">
        <f t="shared" si="63"/>
        <v/>
      </c>
      <c r="O458" s="157" t="str">
        <f t="shared" si="64"/>
        <v/>
      </c>
      <c r="P458" s="158" t="str">
        <f t="shared" si="65"/>
        <v/>
      </c>
      <c r="Q458" s="157" t="str">
        <f t="shared" si="66"/>
        <v/>
      </c>
      <c r="R458" s="157" t="str">
        <f t="shared" si="67"/>
        <v/>
      </c>
    </row>
    <row r="459" spans="1:18" ht="38.25" customHeight="1" x14ac:dyDescent="0.25">
      <c r="A459" s="270"/>
      <c r="B459" s="254" t="s">
        <v>1</v>
      </c>
      <c r="C459" s="270" t="s">
        <v>2</v>
      </c>
      <c r="D459" s="270" t="s">
        <v>3</v>
      </c>
      <c r="E459" s="347" t="s">
        <v>19</v>
      </c>
      <c r="F459" s="347"/>
      <c r="G459" s="253" t="s">
        <v>4</v>
      </c>
      <c r="H459" s="254" t="s">
        <v>5</v>
      </c>
      <c r="I459" s="254" t="s">
        <v>6</v>
      </c>
      <c r="J459" s="254" t="s">
        <v>7</v>
      </c>
      <c r="L459" s="145">
        <f t="shared" si="61"/>
        <v>54</v>
      </c>
      <c r="M459" s="156" t="str">
        <f t="shared" si="62"/>
        <v/>
      </c>
      <c r="N459" s="157" t="str">
        <f t="shared" si="63"/>
        <v/>
      </c>
      <c r="O459" s="157" t="str">
        <f t="shared" si="64"/>
        <v/>
      </c>
      <c r="P459" s="158" t="str">
        <f t="shared" si="65"/>
        <v/>
      </c>
      <c r="Q459" s="157" t="str">
        <f t="shared" si="66"/>
        <v/>
      </c>
      <c r="R459" s="157" t="str">
        <f t="shared" si="67"/>
        <v/>
      </c>
    </row>
    <row r="460" spans="1:18" x14ac:dyDescent="0.25">
      <c r="A460" s="271" t="s">
        <v>20</v>
      </c>
      <c r="B460" s="256" t="s">
        <v>313</v>
      </c>
      <c r="C460" s="271" t="s">
        <v>10</v>
      </c>
      <c r="D460" s="271" t="s">
        <v>314</v>
      </c>
      <c r="E460" s="362" t="s">
        <v>27</v>
      </c>
      <c r="F460" s="362"/>
      <c r="G460" s="255" t="s">
        <v>28</v>
      </c>
      <c r="H460" s="258">
        <v>1</v>
      </c>
      <c r="I460" s="257">
        <f>SUMIF(L:L,$L460,M:M)</f>
        <v>24.1</v>
      </c>
      <c r="J460" s="257">
        <f t="shared" ref="J460:J468" si="69">TRUNC(H460*I460,2)</f>
        <v>24.1</v>
      </c>
      <c r="L460" s="145">
        <f t="shared" si="61"/>
        <v>54</v>
      </c>
      <c r="M460" s="156" t="str">
        <f t="shared" si="62"/>
        <v/>
      </c>
      <c r="N460" s="157" t="str">
        <f t="shared" si="63"/>
        <v/>
      </c>
      <c r="O460" s="157" t="str">
        <f t="shared" si="64"/>
        <v/>
      </c>
      <c r="P460" s="158" t="str">
        <f t="shared" si="65"/>
        <v xml:space="preserve"> 88264 </v>
      </c>
      <c r="Q460" s="157">
        <f t="shared" si="66"/>
        <v>17.52</v>
      </c>
      <c r="R460" s="157">
        <f t="shared" si="67"/>
        <v>6.58</v>
      </c>
    </row>
    <row r="461" spans="1:18" ht="26.4" x14ac:dyDescent="0.25">
      <c r="A461" s="272" t="s">
        <v>22</v>
      </c>
      <c r="B461" s="261" t="s">
        <v>309</v>
      </c>
      <c r="C461" s="272" t="s">
        <v>10</v>
      </c>
      <c r="D461" s="272" t="s">
        <v>310</v>
      </c>
      <c r="E461" s="363" t="s">
        <v>27</v>
      </c>
      <c r="F461" s="363"/>
      <c r="G461" s="260" t="s">
        <v>28</v>
      </c>
      <c r="H461" s="263">
        <v>1</v>
      </c>
      <c r="I461" s="262">
        <f>SUMIFS(J:J,A:A,"Composição",B:B,$B461)</f>
        <v>0.46</v>
      </c>
      <c r="J461" s="262">
        <f t="shared" si="69"/>
        <v>0.46</v>
      </c>
      <c r="L461" s="145">
        <f t="shared" si="61"/>
        <v>54</v>
      </c>
      <c r="M461" s="156">
        <f t="shared" si="62"/>
        <v>0.46</v>
      </c>
      <c r="N461" s="157" t="str">
        <f t="shared" si="63"/>
        <v/>
      </c>
      <c r="O461" s="157">
        <f t="shared" si="64"/>
        <v>0.46</v>
      </c>
      <c r="P461" s="158" t="str">
        <f t="shared" si="65"/>
        <v/>
      </c>
      <c r="Q461" s="157" t="str">
        <f t="shared" si="66"/>
        <v/>
      </c>
      <c r="R461" s="157" t="str">
        <f t="shared" si="67"/>
        <v/>
      </c>
    </row>
    <row r="462" spans="1:18" x14ac:dyDescent="0.25">
      <c r="A462" s="273" t="s">
        <v>31</v>
      </c>
      <c r="B462" s="265" t="s">
        <v>90</v>
      </c>
      <c r="C462" s="273" t="str">
        <f>VLOOKUP(B462,INSUMOS!$A:$I,2,FALSE)</f>
        <v>SINAPI</v>
      </c>
      <c r="D462" s="273" t="str">
        <f>VLOOKUP(B462,INSUMOS!$A:$I,3,FALSE)</f>
        <v>ALIMENTACAO - HORISTA (COLETADO CAIXA)</v>
      </c>
      <c r="E462" s="361" t="str">
        <f>VLOOKUP(B462,INSUMOS!$A:$I,4,FALSE)</f>
        <v>Outros</v>
      </c>
      <c r="F462" s="361"/>
      <c r="G462" s="264" t="str">
        <f>VLOOKUP(B462,INSUMOS!$A:$I,5,FALSE)</f>
        <v>H</v>
      </c>
      <c r="H462" s="267">
        <v>1</v>
      </c>
      <c r="I462" s="266">
        <f>VLOOKUP(B462,INSUMOS!$A:$I,8,FALSE)</f>
        <v>2.62</v>
      </c>
      <c r="J462" s="266">
        <f t="shared" si="69"/>
        <v>2.62</v>
      </c>
      <c r="L462" s="145">
        <f t="shared" si="61"/>
        <v>54</v>
      </c>
      <c r="M462" s="156">
        <f t="shared" si="62"/>
        <v>2.62</v>
      </c>
      <c r="N462" s="157" t="str">
        <f t="shared" si="63"/>
        <v/>
      </c>
      <c r="O462" s="157">
        <f t="shared" si="64"/>
        <v>2.62</v>
      </c>
      <c r="P462" s="158" t="str">
        <f t="shared" si="65"/>
        <v/>
      </c>
      <c r="Q462" s="157" t="str">
        <f t="shared" si="66"/>
        <v/>
      </c>
      <c r="R462" s="157" t="str">
        <f t="shared" si="67"/>
        <v/>
      </c>
    </row>
    <row r="463" spans="1:18" ht="15" customHeight="1" x14ac:dyDescent="0.25">
      <c r="A463" s="273" t="s">
        <v>31</v>
      </c>
      <c r="B463" s="265" t="s">
        <v>261</v>
      </c>
      <c r="C463" s="273" t="str">
        <f>VLOOKUP(B463,INSUMOS!$A:$I,2,FALSE)</f>
        <v>SINAPI</v>
      </c>
      <c r="D463" s="273" t="str">
        <f>VLOOKUP(B463,INSUMOS!$A:$I,3,FALSE)</f>
        <v>ELETRICISTA</v>
      </c>
      <c r="E463" s="361" t="str">
        <f>VLOOKUP(B463,INSUMOS!$A:$I,4,FALSE)</f>
        <v>Mão de Obra</v>
      </c>
      <c r="F463" s="361"/>
      <c r="G463" s="264" t="str">
        <f>VLOOKUP(B463,INSUMOS!$A:$I,5,FALSE)</f>
        <v>H</v>
      </c>
      <c r="H463" s="267">
        <v>1</v>
      </c>
      <c r="I463" s="266">
        <f>VLOOKUP(B463,INSUMOS!$A:$I,8,FALSE)</f>
        <v>17.52</v>
      </c>
      <c r="J463" s="266">
        <f t="shared" si="69"/>
        <v>17.52</v>
      </c>
      <c r="L463" s="145">
        <f t="shared" si="61"/>
        <v>54</v>
      </c>
      <c r="M463" s="156">
        <f t="shared" si="62"/>
        <v>17.52</v>
      </c>
      <c r="N463" s="157">
        <f t="shared" si="63"/>
        <v>17.52</v>
      </c>
      <c r="O463" s="157" t="str">
        <f t="shared" si="64"/>
        <v/>
      </c>
      <c r="P463" s="158" t="str">
        <f t="shared" si="65"/>
        <v/>
      </c>
      <c r="Q463" s="157" t="str">
        <f t="shared" si="66"/>
        <v/>
      </c>
      <c r="R463" s="157" t="str">
        <f t="shared" si="67"/>
        <v/>
      </c>
    </row>
    <row r="464" spans="1:18" ht="26.4" x14ac:dyDescent="0.25">
      <c r="A464" s="273" t="s">
        <v>31</v>
      </c>
      <c r="B464" s="265" t="s">
        <v>274</v>
      </c>
      <c r="C464" s="273" t="str">
        <f>VLOOKUP(B464,INSUMOS!$A:$I,2,FALSE)</f>
        <v>SINAPI</v>
      </c>
      <c r="D464" s="273" t="str">
        <f>VLOOKUP(B464,INSUMOS!$A:$I,3,FALSE)</f>
        <v>EPI - FAMILIA ELETRICISTA - HORISTA (ENCARGOS COMPLEMENTARES - COLETADO CAIXA)</v>
      </c>
      <c r="E464" s="361" t="str">
        <f>VLOOKUP(B464,INSUMOS!$A:$I,4,FALSE)</f>
        <v>Equipamento</v>
      </c>
      <c r="F464" s="361"/>
      <c r="G464" s="264" t="str">
        <f>VLOOKUP(B464,INSUMOS!$A:$I,5,FALSE)</f>
        <v>H</v>
      </c>
      <c r="H464" s="267">
        <v>1</v>
      </c>
      <c r="I464" s="266">
        <f>VLOOKUP(B464,INSUMOS!$A:$I,8,FALSE)</f>
        <v>0.91</v>
      </c>
      <c r="J464" s="266">
        <f t="shared" si="69"/>
        <v>0.91</v>
      </c>
      <c r="L464" s="145">
        <f t="shared" si="61"/>
        <v>54</v>
      </c>
      <c r="M464" s="156">
        <f t="shared" si="62"/>
        <v>0.91</v>
      </c>
      <c r="N464" s="157" t="str">
        <f t="shared" si="63"/>
        <v/>
      </c>
      <c r="O464" s="157">
        <f t="shared" si="64"/>
        <v>0.91</v>
      </c>
      <c r="P464" s="158" t="str">
        <f t="shared" si="65"/>
        <v/>
      </c>
      <c r="Q464" s="157" t="str">
        <f t="shared" si="66"/>
        <v/>
      </c>
      <c r="R464" s="157" t="str">
        <f t="shared" si="67"/>
        <v/>
      </c>
    </row>
    <row r="465" spans="1:18" x14ac:dyDescent="0.25">
      <c r="A465" s="273" t="s">
        <v>31</v>
      </c>
      <c r="B465" s="265" t="s">
        <v>92</v>
      </c>
      <c r="C465" s="273" t="str">
        <f>VLOOKUP(B465,INSUMOS!$A:$I,2,FALSE)</f>
        <v>SINAPI</v>
      </c>
      <c r="D465" s="273" t="str">
        <f>VLOOKUP(B465,INSUMOS!$A:$I,3,FALSE)</f>
        <v>EXAMES - HORISTA (COLETADO CAIXA)</v>
      </c>
      <c r="E465" s="361" t="str">
        <f>VLOOKUP(B465,INSUMOS!$A:$I,4,FALSE)</f>
        <v>Outros</v>
      </c>
      <c r="F465" s="361"/>
      <c r="G465" s="264" t="str">
        <f>VLOOKUP(B465,INSUMOS!$A:$I,5,FALSE)</f>
        <v>H</v>
      </c>
      <c r="H465" s="267">
        <v>1</v>
      </c>
      <c r="I465" s="266">
        <f>VLOOKUP(B465,INSUMOS!$A:$I,8,FALSE)</f>
        <v>0.55000000000000004</v>
      </c>
      <c r="J465" s="266">
        <f t="shared" si="69"/>
        <v>0.55000000000000004</v>
      </c>
      <c r="L465" s="145">
        <f t="shared" ref="L465:L528" si="70">IF(AND(A466&lt;&gt;"",A465=""),L464+1,L464)</f>
        <v>54</v>
      </c>
      <c r="M465" s="156">
        <f t="shared" ref="M465:M528" si="71">IF(OR(A465="Insumo",A465="Composição Auxiliar"),J465,"")</f>
        <v>0.55000000000000004</v>
      </c>
      <c r="N465" s="157" t="str">
        <f t="shared" ref="N465:N528" si="72">IF(E465="Mão de Obra",J465,"")</f>
        <v/>
      </c>
      <c r="O465" s="157">
        <f t="shared" ref="O465:O528" si="73">IF(N465&lt;&gt;"","",M465)</f>
        <v>0.55000000000000004</v>
      </c>
      <c r="P465" s="158" t="str">
        <f t="shared" ref="P465:P528" si="74">IF(A465="Composição",B465,"")</f>
        <v/>
      </c>
      <c r="Q465" s="157" t="str">
        <f t="shared" ref="Q465:Q528" si="75">IF(P465&lt;&gt;"",SUMIF(L465:L565,L465,N465:N565),"")</f>
        <v/>
      </c>
      <c r="R465" s="157" t="str">
        <f t="shared" ref="R465:R528" si="76">IF(P465&lt;&gt;"",SUMIF(L465:L565,L465,O465:O565),"")</f>
        <v/>
      </c>
    </row>
    <row r="466" spans="1:18" ht="14.25" customHeight="1" x14ac:dyDescent="0.25">
      <c r="A466" s="273" t="s">
        <v>31</v>
      </c>
      <c r="B466" s="265" t="s">
        <v>278</v>
      </c>
      <c r="C466" s="273" t="str">
        <f>VLOOKUP(B466,INSUMOS!$A:$I,2,FALSE)</f>
        <v>SINAPI</v>
      </c>
      <c r="D466" s="273" t="str">
        <f>VLOOKUP(B466,INSUMOS!$A:$I,3,FALSE)</f>
        <v>FERRAMENTAS - FAMILIA ELETRICISTA - HORISTA (ENCARGOS COMPLEMENTARES - COLETADO CAIXA)</v>
      </c>
      <c r="E466" s="361" t="str">
        <f>VLOOKUP(B466,INSUMOS!$A:$I,4,FALSE)</f>
        <v>Equipamento</v>
      </c>
      <c r="F466" s="361"/>
      <c r="G466" s="264" t="str">
        <f>VLOOKUP(B466,INSUMOS!$A:$I,5,FALSE)</f>
        <v>H</v>
      </c>
      <c r="H466" s="267">
        <v>1</v>
      </c>
      <c r="I466" s="266">
        <f>VLOOKUP(B466,INSUMOS!$A:$I,8,FALSE)</f>
        <v>0.62</v>
      </c>
      <c r="J466" s="266">
        <f t="shared" si="69"/>
        <v>0.62</v>
      </c>
      <c r="L466" s="145">
        <f t="shared" si="70"/>
        <v>54</v>
      </c>
      <c r="M466" s="156">
        <f t="shared" si="71"/>
        <v>0.62</v>
      </c>
      <c r="N466" s="157" t="str">
        <f t="shared" si="72"/>
        <v/>
      </c>
      <c r="O466" s="157">
        <f t="shared" si="73"/>
        <v>0.62</v>
      </c>
      <c r="P466" s="158" t="str">
        <f t="shared" si="74"/>
        <v/>
      </c>
      <c r="Q466" s="157" t="str">
        <f t="shared" si="75"/>
        <v/>
      </c>
      <c r="R466" s="157" t="str">
        <f t="shared" si="76"/>
        <v/>
      </c>
    </row>
    <row r="467" spans="1:18" ht="38.25" customHeight="1" x14ac:dyDescent="0.25">
      <c r="A467" s="273" t="s">
        <v>31</v>
      </c>
      <c r="B467" s="265" t="s">
        <v>94</v>
      </c>
      <c r="C467" s="273" t="str">
        <f>VLOOKUP(B467,INSUMOS!$A:$I,2,FALSE)</f>
        <v>SINAPI</v>
      </c>
      <c r="D467" s="273" t="str">
        <f>VLOOKUP(B467,INSUMOS!$A:$I,3,FALSE)</f>
        <v>SEGURO - HORISTA (COLETADO CAIXA)</v>
      </c>
      <c r="E467" s="361" t="str">
        <f>VLOOKUP(B467,INSUMOS!$A:$I,4,FALSE)</f>
        <v>Taxas</v>
      </c>
      <c r="F467" s="361"/>
      <c r="G467" s="264" t="str">
        <f>VLOOKUP(B467,INSUMOS!$A:$I,5,FALSE)</f>
        <v>H</v>
      </c>
      <c r="H467" s="267">
        <v>1</v>
      </c>
      <c r="I467" s="266">
        <f>VLOOKUP(B467,INSUMOS!$A:$I,8,FALSE)</f>
        <v>0.06</v>
      </c>
      <c r="J467" s="266">
        <f t="shared" si="69"/>
        <v>0.06</v>
      </c>
      <c r="L467" s="145">
        <f t="shared" si="70"/>
        <v>54</v>
      </c>
      <c r="M467" s="156">
        <f t="shared" si="71"/>
        <v>0.06</v>
      </c>
      <c r="N467" s="157" t="str">
        <f t="shared" si="72"/>
        <v/>
      </c>
      <c r="O467" s="157">
        <f t="shared" si="73"/>
        <v>0.06</v>
      </c>
      <c r="P467" s="158" t="str">
        <f t="shared" si="74"/>
        <v/>
      </c>
      <c r="Q467" s="157" t="str">
        <f t="shared" si="75"/>
        <v/>
      </c>
      <c r="R467" s="157" t="str">
        <f t="shared" si="76"/>
        <v/>
      </c>
    </row>
    <row r="468" spans="1:18" ht="15" customHeight="1" x14ac:dyDescent="0.25">
      <c r="A468" s="273" t="s">
        <v>31</v>
      </c>
      <c r="B468" s="265" t="s">
        <v>95</v>
      </c>
      <c r="C468" s="273" t="str">
        <f>VLOOKUP(B468,INSUMOS!$A:$I,2,FALSE)</f>
        <v>SINAPI</v>
      </c>
      <c r="D468" s="273" t="str">
        <f>VLOOKUP(B468,INSUMOS!$A:$I,3,FALSE)</f>
        <v>TRANSPORTE - HORISTA (COLETADO CAIXA)</v>
      </c>
      <c r="E468" s="361" t="str">
        <f>VLOOKUP(B468,INSUMOS!$A:$I,4,FALSE)</f>
        <v>Serviços</v>
      </c>
      <c r="F468" s="361"/>
      <c r="G468" s="264" t="str">
        <f>VLOOKUP(B468,INSUMOS!$A:$I,5,FALSE)</f>
        <v>H</v>
      </c>
      <c r="H468" s="267">
        <v>1</v>
      </c>
      <c r="I468" s="266">
        <f>VLOOKUP(B468,INSUMOS!$A:$I,8,FALSE)</f>
        <v>1.36</v>
      </c>
      <c r="J468" s="266">
        <f t="shared" si="69"/>
        <v>1.36</v>
      </c>
      <c r="L468" s="145">
        <f t="shared" si="70"/>
        <v>54</v>
      </c>
      <c r="M468" s="156">
        <f t="shared" si="71"/>
        <v>1.36</v>
      </c>
      <c r="N468" s="157" t="str">
        <f t="shared" si="72"/>
        <v/>
      </c>
      <c r="O468" s="157">
        <f t="shared" si="73"/>
        <v>1.36</v>
      </c>
      <c r="P468" s="158" t="str">
        <f t="shared" si="74"/>
        <v/>
      </c>
      <c r="Q468" s="157" t="str">
        <f t="shared" si="75"/>
        <v/>
      </c>
      <c r="R468" s="157" t="str">
        <f t="shared" si="76"/>
        <v/>
      </c>
    </row>
    <row r="469" spans="1:18" x14ac:dyDescent="0.25">
      <c r="A469" s="274"/>
      <c r="B469" s="274"/>
      <c r="C469" s="274"/>
      <c r="D469" s="274"/>
      <c r="E469" s="274"/>
      <c r="F469" s="268"/>
      <c r="G469" s="274"/>
      <c r="H469" s="268"/>
      <c r="I469" s="274"/>
      <c r="J469" s="268"/>
      <c r="L469" s="145">
        <f t="shared" si="70"/>
        <v>54</v>
      </c>
      <c r="M469" s="156" t="str">
        <f t="shared" si="71"/>
        <v/>
      </c>
      <c r="N469" s="157" t="str">
        <f t="shared" si="72"/>
        <v/>
      </c>
      <c r="O469" s="157" t="str">
        <f t="shared" si="73"/>
        <v/>
      </c>
      <c r="P469" s="158" t="str">
        <f t="shared" si="74"/>
        <v/>
      </c>
      <c r="Q469" s="157" t="str">
        <f t="shared" si="75"/>
        <v/>
      </c>
      <c r="R469" s="157" t="str">
        <f t="shared" si="76"/>
        <v/>
      </c>
    </row>
    <row r="470" spans="1:18" ht="15" customHeight="1" thickBot="1" x14ac:dyDescent="0.3">
      <c r="A470" s="274"/>
      <c r="B470" s="274"/>
      <c r="C470" s="274"/>
      <c r="D470" s="274"/>
      <c r="E470" s="274"/>
      <c r="F470" s="268"/>
      <c r="G470" s="274"/>
      <c r="H470" s="350"/>
      <c r="I470" s="350"/>
      <c r="J470" s="268"/>
      <c r="L470" s="145">
        <f t="shared" si="70"/>
        <v>54</v>
      </c>
      <c r="M470" s="156" t="str">
        <f t="shared" si="71"/>
        <v/>
      </c>
      <c r="N470" s="157" t="str">
        <f t="shared" si="72"/>
        <v/>
      </c>
      <c r="O470" s="157" t="str">
        <f t="shared" si="73"/>
        <v/>
      </c>
      <c r="P470" s="158" t="str">
        <f t="shared" si="74"/>
        <v/>
      </c>
      <c r="Q470" s="157" t="str">
        <f t="shared" si="75"/>
        <v/>
      </c>
      <c r="R470" s="157" t="str">
        <f t="shared" si="76"/>
        <v/>
      </c>
    </row>
    <row r="471" spans="1:18" ht="14.4" thickTop="1" x14ac:dyDescent="0.25">
      <c r="A471" s="259"/>
      <c r="B471" s="259"/>
      <c r="C471" s="259"/>
      <c r="D471" s="259"/>
      <c r="E471" s="259"/>
      <c r="F471" s="259"/>
      <c r="G471" s="259"/>
      <c r="H471" s="259"/>
      <c r="I471" s="259"/>
      <c r="J471" s="259"/>
      <c r="L471" s="145">
        <f t="shared" si="70"/>
        <v>54</v>
      </c>
      <c r="M471" s="156" t="str">
        <f t="shared" si="71"/>
        <v/>
      </c>
      <c r="N471" s="157" t="str">
        <f t="shared" si="72"/>
        <v/>
      </c>
      <c r="O471" s="157" t="str">
        <f t="shared" si="73"/>
        <v/>
      </c>
      <c r="P471" s="158" t="str">
        <f t="shared" si="74"/>
        <v/>
      </c>
      <c r="Q471" s="157" t="str">
        <f t="shared" si="75"/>
        <v/>
      </c>
      <c r="R471" s="157" t="str">
        <f t="shared" si="76"/>
        <v/>
      </c>
    </row>
    <row r="472" spans="1:18" x14ac:dyDescent="0.25">
      <c r="A472" s="270"/>
      <c r="B472" s="254" t="s">
        <v>1</v>
      </c>
      <c r="C472" s="270" t="s">
        <v>2</v>
      </c>
      <c r="D472" s="270" t="s">
        <v>3</v>
      </c>
      <c r="E472" s="347" t="s">
        <v>19</v>
      </c>
      <c r="F472" s="347"/>
      <c r="G472" s="253" t="s">
        <v>4</v>
      </c>
      <c r="H472" s="254" t="s">
        <v>5</v>
      </c>
      <c r="I472" s="254" t="s">
        <v>6</v>
      </c>
      <c r="J472" s="254" t="s">
        <v>7</v>
      </c>
      <c r="L472" s="145">
        <f t="shared" si="70"/>
        <v>55</v>
      </c>
      <c r="M472" s="156" t="str">
        <f t="shared" si="71"/>
        <v/>
      </c>
      <c r="N472" s="157" t="str">
        <f t="shared" si="72"/>
        <v/>
      </c>
      <c r="O472" s="157" t="str">
        <f t="shared" si="73"/>
        <v/>
      </c>
      <c r="P472" s="158" t="str">
        <f t="shared" si="74"/>
        <v/>
      </c>
      <c r="Q472" s="157" t="str">
        <f t="shared" si="75"/>
        <v/>
      </c>
      <c r="R472" s="157" t="str">
        <f t="shared" si="76"/>
        <v/>
      </c>
    </row>
    <row r="473" spans="1:18" ht="14.25" customHeight="1" x14ac:dyDescent="0.25">
      <c r="A473" s="271" t="s">
        <v>20</v>
      </c>
      <c r="B473" s="256" t="s">
        <v>694</v>
      </c>
      <c r="C473" s="271" t="s">
        <v>10</v>
      </c>
      <c r="D473" s="271" t="s">
        <v>695</v>
      </c>
      <c r="E473" s="362" t="s">
        <v>27</v>
      </c>
      <c r="F473" s="362"/>
      <c r="G473" s="255" t="s">
        <v>28</v>
      </c>
      <c r="H473" s="258">
        <v>1</v>
      </c>
      <c r="I473" s="257">
        <f>SUMIF(L:L,$L473,M:M)</f>
        <v>32.51</v>
      </c>
      <c r="J473" s="257">
        <f t="shared" ref="J473:J481" si="77">TRUNC(H473*I473,2)</f>
        <v>32.51</v>
      </c>
      <c r="L473" s="145">
        <f t="shared" si="70"/>
        <v>55</v>
      </c>
      <c r="M473" s="156" t="str">
        <f t="shared" si="71"/>
        <v/>
      </c>
      <c r="N473" s="157" t="str">
        <f t="shared" si="72"/>
        <v/>
      </c>
      <c r="O473" s="157" t="str">
        <f t="shared" si="73"/>
        <v/>
      </c>
      <c r="P473" s="158" t="str">
        <f t="shared" si="74"/>
        <v xml:space="preserve"> 88266 </v>
      </c>
      <c r="Q473" s="157">
        <f t="shared" si="75"/>
        <v>25.83</v>
      </c>
      <c r="R473" s="157">
        <f t="shared" si="76"/>
        <v>6.68</v>
      </c>
    </row>
    <row r="474" spans="1:18" ht="26.4" x14ac:dyDescent="0.25">
      <c r="A474" s="272" t="s">
        <v>22</v>
      </c>
      <c r="B474" s="261" t="s">
        <v>728</v>
      </c>
      <c r="C474" s="272" t="s">
        <v>10</v>
      </c>
      <c r="D474" s="272" t="s">
        <v>729</v>
      </c>
      <c r="E474" s="363" t="s">
        <v>27</v>
      </c>
      <c r="F474" s="363"/>
      <c r="G474" s="260" t="s">
        <v>28</v>
      </c>
      <c r="H474" s="263">
        <v>1</v>
      </c>
      <c r="I474" s="262">
        <f>SUMIFS(J:J,A:A,"Composição",B:B,$B474)</f>
        <v>0.56000000000000005</v>
      </c>
      <c r="J474" s="262">
        <f t="shared" si="77"/>
        <v>0.56000000000000005</v>
      </c>
      <c r="L474" s="145">
        <f t="shared" si="70"/>
        <v>55</v>
      </c>
      <c r="M474" s="156">
        <f t="shared" si="71"/>
        <v>0.56000000000000005</v>
      </c>
      <c r="N474" s="157" t="str">
        <f t="shared" si="72"/>
        <v/>
      </c>
      <c r="O474" s="157">
        <f t="shared" si="73"/>
        <v>0.56000000000000005</v>
      </c>
      <c r="P474" s="158" t="str">
        <f t="shared" si="74"/>
        <v/>
      </c>
      <c r="Q474" s="157" t="str">
        <f t="shared" si="75"/>
        <v/>
      </c>
      <c r="R474" s="157" t="str">
        <f t="shared" si="76"/>
        <v/>
      </c>
    </row>
    <row r="475" spans="1:18" ht="38.25" customHeight="1" x14ac:dyDescent="0.25">
      <c r="A475" s="273" t="s">
        <v>31</v>
      </c>
      <c r="B475" s="265" t="s">
        <v>90</v>
      </c>
      <c r="C475" s="273" t="str">
        <f>VLOOKUP(B475,INSUMOS!$A:$I,2,FALSE)</f>
        <v>SINAPI</v>
      </c>
      <c r="D475" s="273" t="str">
        <f>VLOOKUP(B475,INSUMOS!$A:$I,3,FALSE)</f>
        <v>ALIMENTACAO - HORISTA (COLETADO CAIXA)</v>
      </c>
      <c r="E475" s="361" t="str">
        <f>VLOOKUP(B475,INSUMOS!$A:$I,4,FALSE)</f>
        <v>Outros</v>
      </c>
      <c r="F475" s="361"/>
      <c r="G475" s="264" t="str">
        <f>VLOOKUP(B475,INSUMOS!$A:$I,5,FALSE)</f>
        <v>H</v>
      </c>
      <c r="H475" s="267">
        <v>1</v>
      </c>
      <c r="I475" s="266">
        <f>VLOOKUP(B475,INSUMOS!$A:$I,8,FALSE)</f>
        <v>2.62</v>
      </c>
      <c r="J475" s="266">
        <f t="shared" si="77"/>
        <v>2.62</v>
      </c>
      <c r="L475" s="145">
        <f t="shared" si="70"/>
        <v>55</v>
      </c>
      <c r="M475" s="156">
        <f t="shared" si="71"/>
        <v>2.62</v>
      </c>
      <c r="N475" s="157" t="str">
        <f t="shared" si="72"/>
        <v/>
      </c>
      <c r="O475" s="157">
        <f t="shared" si="73"/>
        <v>2.62</v>
      </c>
      <c r="P475" s="158" t="str">
        <f t="shared" si="74"/>
        <v/>
      </c>
      <c r="Q475" s="157" t="str">
        <f t="shared" si="75"/>
        <v/>
      </c>
      <c r="R475" s="157" t="str">
        <f t="shared" si="76"/>
        <v/>
      </c>
    </row>
    <row r="476" spans="1:18" x14ac:dyDescent="0.25">
      <c r="A476" s="273" t="s">
        <v>31</v>
      </c>
      <c r="B476" s="265" t="s">
        <v>467</v>
      </c>
      <c r="C476" s="273" t="str">
        <f>VLOOKUP(B476,INSUMOS!$A:$I,2,FALSE)</f>
        <v>SINAPI</v>
      </c>
      <c r="D476" s="273" t="str">
        <f>VLOOKUP(B476,INSUMOS!$A:$I,3,FALSE)</f>
        <v>ELETROTECNICO</v>
      </c>
      <c r="E476" s="361" t="str">
        <f>VLOOKUP(B476,INSUMOS!$A:$I,4,FALSE)</f>
        <v>Mão de Obra</v>
      </c>
      <c r="F476" s="361"/>
      <c r="G476" s="264" t="str">
        <f>VLOOKUP(B476,INSUMOS!$A:$I,5,FALSE)</f>
        <v>H</v>
      </c>
      <c r="H476" s="267">
        <v>1</v>
      </c>
      <c r="I476" s="266">
        <f>VLOOKUP(B476,INSUMOS!$A:$I,8,FALSE)</f>
        <v>25.83</v>
      </c>
      <c r="J476" s="266">
        <f t="shared" si="77"/>
        <v>25.83</v>
      </c>
      <c r="L476" s="145">
        <f t="shared" si="70"/>
        <v>55</v>
      </c>
      <c r="M476" s="156">
        <f t="shared" si="71"/>
        <v>25.83</v>
      </c>
      <c r="N476" s="157">
        <f t="shared" si="72"/>
        <v>25.83</v>
      </c>
      <c r="O476" s="157" t="str">
        <f t="shared" si="73"/>
        <v/>
      </c>
      <c r="P476" s="158" t="str">
        <f t="shared" si="74"/>
        <v/>
      </c>
      <c r="Q476" s="157" t="str">
        <f t="shared" si="75"/>
        <v/>
      </c>
      <c r="R476" s="157" t="str">
        <f t="shared" si="76"/>
        <v/>
      </c>
    </row>
    <row r="477" spans="1:18" ht="26.4" x14ac:dyDescent="0.25">
      <c r="A477" s="273" t="s">
        <v>31</v>
      </c>
      <c r="B477" s="265" t="s">
        <v>274</v>
      </c>
      <c r="C477" s="273" t="str">
        <f>VLOOKUP(B477,INSUMOS!$A:$I,2,FALSE)</f>
        <v>SINAPI</v>
      </c>
      <c r="D477" s="273" t="str">
        <f>VLOOKUP(B477,INSUMOS!$A:$I,3,FALSE)</f>
        <v>EPI - FAMILIA ELETRICISTA - HORISTA (ENCARGOS COMPLEMENTARES - COLETADO CAIXA)</v>
      </c>
      <c r="E477" s="361" t="str">
        <f>VLOOKUP(B477,INSUMOS!$A:$I,4,FALSE)</f>
        <v>Equipamento</v>
      </c>
      <c r="F477" s="361"/>
      <c r="G477" s="264" t="str">
        <f>VLOOKUP(B477,INSUMOS!$A:$I,5,FALSE)</f>
        <v>H</v>
      </c>
      <c r="H477" s="267">
        <v>1</v>
      </c>
      <c r="I477" s="266">
        <f>VLOOKUP(B477,INSUMOS!$A:$I,8,FALSE)</f>
        <v>0.91</v>
      </c>
      <c r="J477" s="266">
        <f t="shared" si="77"/>
        <v>0.91</v>
      </c>
      <c r="L477" s="145">
        <f t="shared" si="70"/>
        <v>55</v>
      </c>
      <c r="M477" s="156">
        <f t="shared" si="71"/>
        <v>0.91</v>
      </c>
      <c r="N477" s="157" t="str">
        <f t="shared" si="72"/>
        <v/>
      </c>
      <c r="O477" s="157">
        <f t="shared" si="73"/>
        <v>0.91</v>
      </c>
      <c r="P477" s="158" t="str">
        <f t="shared" si="74"/>
        <v/>
      </c>
      <c r="Q477" s="157" t="str">
        <f t="shared" si="75"/>
        <v/>
      </c>
      <c r="R477" s="157" t="str">
        <f t="shared" si="76"/>
        <v/>
      </c>
    </row>
    <row r="478" spans="1:18" ht="15" customHeight="1" x14ac:dyDescent="0.25">
      <c r="A478" s="273" t="s">
        <v>31</v>
      </c>
      <c r="B478" s="265" t="s">
        <v>92</v>
      </c>
      <c r="C478" s="273" t="str">
        <f>VLOOKUP(B478,INSUMOS!$A:$I,2,FALSE)</f>
        <v>SINAPI</v>
      </c>
      <c r="D478" s="273" t="str">
        <f>VLOOKUP(B478,INSUMOS!$A:$I,3,FALSE)</f>
        <v>EXAMES - HORISTA (COLETADO CAIXA)</v>
      </c>
      <c r="E478" s="361" t="str">
        <f>VLOOKUP(B478,INSUMOS!$A:$I,4,FALSE)</f>
        <v>Outros</v>
      </c>
      <c r="F478" s="361"/>
      <c r="G478" s="264" t="str">
        <f>VLOOKUP(B478,INSUMOS!$A:$I,5,FALSE)</f>
        <v>H</v>
      </c>
      <c r="H478" s="267">
        <v>1</v>
      </c>
      <c r="I478" s="266">
        <f>VLOOKUP(B478,INSUMOS!$A:$I,8,FALSE)</f>
        <v>0.55000000000000004</v>
      </c>
      <c r="J478" s="266">
        <f t="shared" si="77"/>
        <v>0.55000000000000004</v>
      </c>
      <c r="L478" s="145">
        <f t="shared" si="70"/>
        <v>55</v>
      </c>
      <c r="M478" s="156">
        <f t="shared" si="71"/>
        <v>0.55000000000000004</v>
      </c>
      <c r="N478" s="157" t="str">
        <f t="shared" si="72"/>
        <v/>
      </c>
      <c r="O478" s="157">
        <f t="shared" si="73"/>
        <v>0.55000000000000004</v>
      </c>
      <c r="P478" s="158" t="str">
        <f t="shared" si="74"/>
        <v/>
      </c>
      <c r="Q478" s="157" t="str">
        <f t="shared" si="75"/>
        <v/>
      </c>
      <c r="R478" s="157" t="str">
        <f t="shared" si="76"/>
        <v/>
      </c>
    </row>
    <row r="479" spans="1:18" ht="26.4" x14ac:dyDescent="0.25">
      <c r="A479" s="273" t="s">
        <v>31</v>
      </c>
      <c r="B479" s="265" t="s">
        <v>278</v>
      </c>
      <c r="C479" s="273" t="str">
        <f>VLOOKUP(B479,INSUMOS!$A:$I,2,FALSE)</f>
        <v>SINAPI</v>
      </c>
      <c r="D479" s="273" t="str">
        <f>VLOOKUP(B479,INSUMOS!$A:$I,3,FALSE)</f>
        <v>FERRAMENTAS - FAMILIA ELETRICISTA - HORISTA (ENCARGOS COMPLEMENTARES - COLETADO CAIXA)</v>
      </c>
      <c r="E479" s="361" t="str">
        <f>VLOOKUP(B479,INSUMOS!$A:$I,4,FALSE)</f>
        <v>Equipamento</v>
      </c>
      <c r="F479" s="361"/>
      <c r="G479" s="264" t="str">
        <f>VLOOKUP(B479,INSUMOS!$A:$I,5,FALSE)</f>
        <v>H</v>
      </c>
      <c r="H479" s="267">
        <v>1</v>
      </c>
      <c r="I479" s="266">
        <f>VLOOKUP(B479,INSUMOS!$A:$I,8,FALSE)</f>
        <v>0.62</v>
      </c>
      <c r="J479" s="266">
        <f t="shared" si="77"/>
        <v>0.62</v>
      </c>
      <c r="L479" s="145">
        <f t="shared" si="70"/>
        <v>55</v>
      </c>
      <c r="M479" s="156">
        <f t="shared" si="71"/>
        <v>0.62</v>
      </c>
      <c r="N479" s="157" t="str">
        <f t="shared" si="72"/>
        <v/>
      </c>
      <c r="O479" s="157">
        <f t="shared" si="73"/>
        <v>0.62</v>
      </c>
      <c r="P479" s="158" t="str">
        <f t="shared" si="74"/>
        <v/>
      </c>
      <c r="Q479" s="157" t="str">
        <f t="shared" si="75"/>
        <v/>
      </c>
      <c r="R479" s="157" t="str">
        <f t="shared" si="76"/>
        <v/>
      </c>
    </row>
    <row r="480" spans="1:18" x14ac:dyDescent="0.25">
      <c r="A480" s="273" t="s">
        <v>31</v>
      </c>
      <c r="B480" s="265" t="s">
        <v>94</v>
      </c>
      <c r="C480" s="273" t="str">
        <f>VLOOKUP(B480,INSUMOS!$A:$I,2,FALSE)</f>
        <v>SINAPI</v>
      </c>
      <c r="D480" s="273" t="str">
        <f>VLOOKUP(B480,INSUMOS!$A:$I,3,FALSE)</f>
        <v>SEGURO - HORISTA (COLETADO CAIXA)</v>
      </c>
      <c r="E480" s="361" t="str">
        <f>VLOOKUP(B480,INSUMOS!$A:$I,4,FALSE)</f>
        <v>Taxas</v>
      </c>
      <c r="F480" s="361"/>
      <c r="G480" s="264" t="str">
        <f>VLOOKUP(B480,INSUMOS!$A:$I,5,FALSE)</f>
        <v>H</v>
      </c>
      <c r="H480" s="267">
        <v>1</v>
      </c>
      <c r="I480" s="266">
        <f>VLOOKUP(B480,INSUMOS!$A:$I,8,FALSE)</f>
        <v>0.06</v>
      </c>
      <c r="J480" s="266">
        <f t="shared" si="77"/>
        <v>0.06</v>
      </c>
      <c r="L480" s="145">
        <f t="shared" si="70"/>
        <v>55</v>
      </c>
      <c r="M480" s="156">
        <f t="shared" si="71"/>
        <v>0.06</v>
      </c>
      <c r="N480" s="157" t="str">
        <f t="shared" si="72"/>
        <v/>
      </c>
      <c r="O480" s="157">
        <f t="shared" si="73"/>
        <v>0.06</v>
      </c>
      <c r="P480" s="158" t="str">
        <f t="shared" si="74"/>
        <v/>
      </c>
      <c r="Q480" s="157" t="str">
        <f t="shared" si="75"/>
        <v/>
      </c>
      <c r="R480" s="157" t="str">
        <f t="shared" si="76"/>
        <v/>
      </c>
    </row>
    <row r="481" spans="1:18" x14ac:dyDescent="0.25">
      <c r="A481" s="273" t="s">
        <v>31</v>
      </c>
      <c r="B481" s="265" t="s">
        <v>95</v>
      </c>
      <c r="C481" s="273" t="str">
        <f>VLOOKUP(B481,INSUMOS!$A:$I,2,FALSE)</f>
        <v>SINAPI</v>
      </c>
      <c r="D481" s="273" t="str">
        <f>VLOOKUP(B481,INSUMOS!$A:$I,3,FALSE)</f>
        <v>TRANSPORTE - HORISTA (COLETADO CAIXA)</v>
      </c>
      <c r="E481" s="361" t="str">
        <f>VLOOKUP(B481,INSUMOS!$A:$I,4,FALSE)</f>
        <v>Serviços</v>
      </c>
      <c r="F481" s="361"/>
      <c r="G481" s="264" t="str">
        <f>VLOOKUP(B481,INSUMOS!$A:$I,5,FALSE)</f>
        <v>H</v>
      </c>
      <c r="H481" s="267">
        <v>1</v>
      </c>
      <c r="I481" s="266">
        <f>VLOOKUP(B481,INSUMOS!$A:$I,8,FALSE)</f>
        <v>1.36</v>
      </c>
      <c r="J481" s="266">
        <f t="shared" si="77"/>
        <v>1.36</v>
      </c>
      <c r="L481" s="145">
        <f t="shared" si="70"/>
        <v>55</v>
      </c>
      <c r="M481" s="156">
        <f t="shared" si="71"/>
        <v>1.36</v>
      </c>
      <c r="N481" s="157" t="str">
        <f t="shared" si="72"/>
        <v/>
      </c>
      <c r="O481" s="157">
        <f t="shared" si="73"/>
        <v>1.36</v>
      </c>
      <c r="P481" s="158" t="str">
        <f t="shared" si="74"/>
        <v/>
      </c>
      <c r="Q481" s="157" t="str">
        <f t="shared" si="75"/>
        <v/>
      </c>
      <c r="R481" s="157" t="str">
        <f t="shared" si="76"/>
        <v/>
      </c>
    </row>
    <row r="482" spans="1:18" x14ac:dyDescent="0.25">
      <c r="A482" s="274"/>
      <c r="B482" s="274"/>
      <c r="C482" s="274"/>
      <c r="D482" s="274"/>
      <c r="E482" s="274"/>
      <c r="F482" s="268"/>
      <c r="G482" s="274"/>
      <c r="H482" s="268"/>
      <c r="I482" s="274"/>
      <c r="J482" s="268"/>
      <c r="L482" s="145">
        <f t="shared" si="70"/>
        <v>55</v>
      </c>
      <c r="M482" s="156" t="str">
        <f t="shared" si="71"/>
        <v/>
      </c>
      <c r="N482" s="157" t="str">
        <f t="shared" si="72"/>
        <v/>
      </c>
      <c r="O482" s="157" t="str">
        <f t="shared" si="73"/>
        <v/>
      </c>
      <c r="P482" s="158" t="str">
        <f t="shared" si="74"/>
        <v/>
      </c>
      <c r="Q482" s="157" t="str">
        <f t="shared" si="75"/>
        <v/>
      </c>
      <c r="R482" s="157" t="str">
        <f t="shared" si="76"/>
        <v/>
      </c>
    </row>
    <row r="483" spans="1:18" ht="15" customHeight="1" thickBot="1" x14ac:dyDescent="0.3">
      <c r="A483" s="274"/>
      <c r="B483" s="274"/>
      <c r="C483" s="274"/>
      <c r="D483" s="274"/>
      <c r="E483" s="274"/>
      <c r="F483" s="268"/>
      <c r="G483" s="274"/>
      <c r="H483" s="350"/>
      <c r="I483" s="350"/>
      <c r="J483" s="268"/>
      <c r="L483" s="145">
        <f t="shared" si="70"/>
        <v>55</v>
      </c>
      <c r="M483" s="156" t="str">
        <f t="shared" si="71"/>
        <v/>
      </c>
      <c r="N483" s="157" t="str">
        <f t="shared" si="72"/>
        <v/>
      </c>
      <c r="O483" s="157" t="str">
        <f t="shared" si="73"/>
        <v/>
      </c>
      <c r="P483" s="158" t="str">
        <f t="shared" si="74"/>
        <v/>
      </c>
      <c r="Q483" s="157" t="str">
        <f t="shared" si="75"/>
        <v/>
      </c>
      <c r="R483" s="157" t="str">
        <f t="shared" si="76"/>
        <v/>
      </c>
    </row>
    <row r="484" spans="1:18" ht="25.5" customHeight="1" thickTop="1" x14ac:dyDescent="0.25">
      <c r="A484" s="259"/>
      <c r="B484" s="259"/>
      <c r="C484" s="259"/>
      <c r="D484" s="259"/>
      <c r="E484" s="259"/>
      <c r="F484" s="259"/>
      <c r="G484" s="259"/>
      <c r="H484" s="259"/>
      <c r="I484" s="259"/>
      <c r="J484" s="259"/>
      <c r="L484" s="145">
        <f t="shared" si="70"/>
        <v>55</v>
      </c>
      <c r="M484" s="156" t="str">
        <f t="shared" si="71"/>
        <v/>
      </c>
      <c r="N484" s="157" t="str">
        <f t="shared" si="72"/>
        <v/>
      </c>
      <c r="O484" s="157" t="str">
        <f t="shared" si="73"/>
        <v/>
      </c>
      <c r="P484" s="158" t="str">
        <f t="shared" si="74"/>
        <v/>
      </c>
      <c r="Q484" s="157" t="str">
        <f t="shared" si="75"/>
        <v/>
      </c>
      <c r="R484" s="157" t="str">
        <f t="shared" si="76"/>
        <v/>
      </c>
    </row>
    <row r="485" spans="1:18" x14ac:dyDescent="0.25">
      <c r="A485" s="270"/>
      <c r="B485" s="254" t="s">
        <v>1</v>
      </c>
      <c r="C485" s="270" t="s">
        <v>2</v>
      </c>
      <c r="D485" s="270" t="s">
        <v>3</v>
      </c>
      <c r="E485" s="347" t="s">
        <v>19</v>
      </c>
      <c r="F485" s="347"/>
      <c r="G485" s="253" t="s">
        <v>4</v>
      </c>
      <c r="H485" s="254" t="s">
        <v>5</v>
      </c>
      <c r="I485" s="254" t="s">
        <v>6</v>
      </c>
      <c r="J485" s="254" t="s">
        <v>7</v>
      </c>
      <c r="L485" s="145">
        <f t="shared" si="70"/>
        <v>56</v>
      </c>
      <c r="M485" s="156" t="str">
        <f t="shared" si="71"/>
        <v/>
      </c>
      <c r="N485" s="157" t="str">
        <f t="shared" si="72"/>
        <v/>
      </c>
      <c r="O485" s="157" t="str">
        <f t="shared" si="73"/>
        <v/>
      </c>
      <c r="P485" s="158" t="str">
        <f t="shared" si="74"/>
        <v/>
      </c>
      <c r="Q485" s="157" t="str">
        <f t="shared" si="75"/>
        <v/>
      </c>
      <c r="R485" s="157" t="str">
        <f t="shared" si="76"/>
        <v/>
      </c>
    </row>
    <row r="486" spans="1:18" ht="26.4" x14ac:dyDescent="0.25">
      <c r="A486" s="271" t="s">
        <v>20</v>
      </c>
      <c r="B486" s="256" t="s">
        <v>307</v>
      </c>
      <c r="C486" s="271" t="s">
        <v>10</v>
      </c>
      <c r="D486" s="271" t="s">
        <v>308</v>
      </c>
      <c r="E486" s="362" t="s">
        <v>27</v>
      </c>
      <c r="F486" s="362"/>
      <c r="G486" s="255" t="s">
        <v>28</v>
      </c>
      <c r="H486" s="258">
        <v>1</v>
      </c>
      <c r="I486" s="257">
        <f>SUMIF(L:L,$L486,M:M)</f>
        <v>23.41</v>
      </c>
      <c r="J486" s="257">
        <f t="shared" ref="J486:J494" si="78">TRUNC(H486*I486,2)</f>
        <v>23.41</v>
      </c>
      <c r="L486" s="145">
        <f t="shared" si="70"/>
        <v>56</v>
      </c>
      <c r="M486" s="156" t="str">
        <f t="shared" si="71"/>
        <v/>
      </c>
      <c r="N486" s="157" t="str">
        <f t="shared" si="72"/>
        <v/>
      </c>
      <c r="O486" s="157" t="str">
        <f t="shared" si="73"/>
        <v/>
      </c>
      <c r="P486" s="158" t="str">
        <f t="shared" si="74"/>
        <v xml:space="preserve"> 88267 </v>
      </c>
      <c r="Q486" s="157">
        <f t="shared" si="75"/>
        <v>17.52</v>
      </c>
      <c r="R486" s="157">
        <f t="shared" si="76"/>
        <v>5.8900000000000006</v>
      </c>
    </row>
    <row r="487" spans="1:18" ht="25.5" customHeight="1" x14ac:dyDescent="0.25">
      <c r="A487" s="272" t="s">
        <v>22</v>
      </c>
      <c r="B487" s="261" t="s">
        <v>311</v>
      </c>
      <c r="C487" s="272" t="s">
        <v>10</v>
      </c>
      <c r="D487" s="272" t="s">
        <v>312</v>
      </c>
      <c r="E487" s="363" t="s">
        <v>27</v>
      </c>
      <c r="F487" s="363"/>
      <c r="G487" s="260" t="s">
        <v>28</v>
      </c>
      <c r="H487" s="263">
        <v>1</v>
      </c>
      <c r="I487" s="262">
        <f>SUMIFS(J:J,A:A,"Composição",B:B,$B487)</f>
        <v>0.22</v>
      </c>
      <c r="J487" s="262">
        <f t="shared" si="78"/>
        <v>0.22</v>
      </c>
      <c r="L487" s="145">
        <f t="shared" si="70"/>
        <v>56</v>
      </c>
      <c r="M487" s="156">
        <f t="shared" si="71"/>
        <v>0.22</v>
      </c>
      <c r="N487" s="157" t="str">
        <f t="shared" si="72"/>
        <v/>
      </c>
      <c r="O487" s="157">
        <f t="shared" si="73"/>
        <v>0.22</v>
      </c>
      <c r="P487" s="158" t="str">
        <f t="shared" si="74"/>
        <v/>
      </c>
      <c r="Q487" s="157" t="str">
        <f t="shared" si="75"/>
        <v/>
      </c>
      <c r="R487" s="157" t="str">
        <f t="shared" si="76"/>
        <v/>
      </c>
    </row>
    <row r="488" spans="1:18" x14ac:dyDescent="0.25">
      <c r="A488" s="273" t="s">
        <v>31</v>
      </c>
      <c r="B488" s="265" t="s">
        <v>90</v>
      </c>
      <c r="C488" s="273" t="str">
        <f>VLOOKUP(B488,INSUMOS!$A:$I,2,FALSE)</f>
        <v>SINAPI</v>
      </c>
      <c r="D488" s="273" t="str">
        <f>VLOOKUP(B488,INSUMOS!$A:$I,3,FALSE)</f>
        <v>ALIMENTACAO - HORISTA (COLETADO CAIXA)</v>
      </c>
      <c r="E488" s="361" t="str">
        <f>VLOOKUP(B488,INSUMOS!$A:$I,4,FALSE)</f>
        <v>Outros</v>
      </c>
      <c r="F488" s="361"/>
      <c r="G488" s="264" t="str">
        <f>VLOOKUP(B488,INSUMOS!$A:$I,5,FALSE)</f>
        <v>H</v>
      </c>
      <c r="H488" s="267">
        <v>1</v>
      </c>
      <c r="I488" s="266">
        <f>VLOOKUP(B488,INSUMOS!$A:$I,8,FALSE)</f>
        <v>2.62</v>
      </c>
      <c r="J488" s="266">
        <f t="shared" si="78"/>
        <v>2.62</v>
      </c>
      <c r="L488" s="145">
        <f t="shared" si="70"/>
        <v>56</v>
      </c>
      <c r="M488" s="156">
        <f t="shared" si="71"/>
        <v>2.62</v>
      </c>
      <c r="N488" s="157" t="str">
        <f t="shared" si="72"/>
        <v/>
      </c>
      <c r="O488" s="157">
        <f t="shared" si="73"/>
        <v>2.62</v>
      </c>
      <c r="P488" s="158" t="str">
        <f t="shared" si="74"/>
        <v/>
      </c>
      <c r="Q488" s="157" t="str">
        <f t="shared" si="75"/>
        <v/>
      </c>
      <c r="R488" s="157" t="str">
        <f t="shared" si="76"/>
        <v/>
      </c>
    </row>
    <row r="489" spans="1:18" x14ac:dyDescent="0.25">
      <c r="A489" s="273" t="s">
        <v>31</v>
      </c>
      <c r="B489" s="265" t="s">
        <v>263</v>
      </c>
      <c r="C489" s="273" t="str">
        <f>VLOOKUP(B489,INSUMOS!$A:$I,2,FALSE)</f>
        <v>SINAPI</v>
      </c>
      <c r="D489" s="273" t="str">
        <f>VLOOKUP(B489,INSUMOS!$A:$I,3,FALSE)</f>
        <v>ENCANADOR OU BOMBEIRO HIDRAULICO</v>
      </c>
      <c r="E489" s="361" t="str">
        <f>VLOOKUP(B489,INSUMOS!$A:$I,4,FALSE)</f>
        <v>Mão de Obra</v>
      </c>
      <c r="F489" s="361"/>
      <c r="G489" s="264" t="str">
        <f>VLOOKUP(B489,INSUMOS!$A:$I,5,FALSE)</f>
        <v>H</v>
      </c>
      <c r="H489" s="267">
        <v>1</v>
      </c>
      <c r="I489" s="266">
        <f>VLOOKUP(B489,INSUMOS!$A:$I,8,FALSE)</f>
        <v>17.52</v>
      </c>
      <c r="J489" s="266">
        <f t="shared" si="78"/>
        <v>17.52</v>
      </c>
      <c r="L489" s="145">
        <f t="shared" si="70"/>
        <v>56</v>
      </c>
      <c r="M489" s="156">
        <f t="shared" si="71"/>
        <v>17.52</v>
      </c>
      <c r="N489" s="157">
        <f t="shared" si="72"/>
        <v>17.52</v>
      </c>
      <c r="O489" s="157" t="str">
        <f t="shared" si="73"/>
        <v/>
      </c>
      <c r="P489" s="158" t="str">
        <f t="shared" si="74"/>
        <v/>
      </c>
      <c r="Q489" s="157" t="str">
        <f t="shared" si="75"/>
        <v/>
      </c>
      <c r="R489" s="157" t="str">
        <f t="shared" si="76"/>
        <v/>
      </c>
    </row>
    <row r="490" spans="1:18" ht="26.4" x14ac:dyDescent="0.25">
      <c r="A490" s="273" t="s">
        <v>31</v>
      </c>
      <c r="B490" s="265" t="s">
        <v>276</v>
      </c>
      <c r="C490" s="273" t="str">
        <f>VLOOKUP(B490,INSUMOS!$A:$I,2,FALSE)</f>
        <v>SINAPI</v>
      </c>
      <c r="D490" s="273" t="str">
        <f>VLOOKUP(B490,INSUMOS!$A:$I,3,FALSE)</f>
        <v>EPI - FAMILIA ENCANADOR - HORISTA (ENCARGOS COMPLEMENTARES - COLETADO CAIXA)</v>
      </c>
      <c r="E490" s="361" t="str">
        <f>VLOOKUP(B490,INSUMOS!$A:$I,4,FALSE)</f>
        <v>Equipamento</v>
      </c>
      <c r="F490" s="361"/>
      <c r="G490" s="264" t="str">
        <f>VLOOKUP(B490,INSUMOS!$A:$I,5,FALSE)</f>
        <v>H</v>
      </c>
      <c r="H490" s="267">
        <v>1</v>
      </c>
      <c r="I490" s="266">
        <f>VLOOKUP(B490,INSUMOS!$A:$I,8,FALSE)</f>
        <v>0.8</v>
      </c>
      <c r="J490" s="266">
        <f t="shared" si="78"/>
        <v>0.8</v>
      </c>
      <c r="L490" s="145">
        <f t="shared" si="70"/>
        <v>56</v>
      </c>
      <c r="M490" s="156">
        <f t="shared" si="71"/>
        <v>0.8</v>
      </c>
      <c r="N490" s="157" t="str">
        <f t="shared" si="72"/>
        <v/>
      </c>
      <c r="O490" s="157">
        <f t="shared" si="73"/>
        <v>0.8</v>
      </c>
      <c r="P490" s="158" t="str">
        <f t="shared" si="74"/>
        <v/>
      </c>
      <c r="Q490" s="157" t="str">
        <f t="shared" si="75"/>
        <v/>
      </c>
      <c r="R490" s="157" t="str">
        <f t="shared" si="76"/>
        <v/>
      </c>
    </row>
    <row r="491" spans="1:18" x14ac:dyDescent="0.25">
      <c r="A491" s="273" t="s">
        <v>31</v>
      </c>
      <c r="B491" s="265" t="s">
        <v>92</v>
      </c>
      <c r="C491" s="273" t="str">
        <f>VLOOKUP(B491,INSUMOS!$A:$I,2,FALSE)</f>
        <v>SINAPI</v>
      </c>
      <c r="D491" s="273" t="str">
        <f>VLOOKUP(B491,INSUMOS!$A:$I,3,FALSE)</f>
        <v>EXAMES - HORISTA (COLETADO CAIXA)</v>
      </c>
      <c r="E491" s="361" t="str">
        <f>VLOOKUP(B491,INSUMOS!$A:$I,4,FALSE)</f>
        <v>Outros</v>
      </c>
      <c r="F491" s="361"/>
      <c r="G491" s="264" t="str">
        <f>VLOOKUP(B491,INSUMOS!$A:$I,5,FALSE)</f>
        <v>H</v>
      </c>
      <c r="H491" s="267">
        <v>1</v>
      </c>
      <c r="I491" s="266">
        <f>VLOOKUP(B491,INSUMOS!$A:$I,8,FALSE)</f>
        <v>0.55000000000000004</v>
      </c>
      <c r="J491" s="266">
        <f t="shared" si="78"/>
        <v>0.55000000000000004</v>
      </c>
      <c r="L491" s="145">
        <f t="shared" si="70"/>
        <v>56</v>
      </c>
      <c r="M491" s="156">
        <f t="shared" si="71"/>
        <v>0.55000000000000004</v>
      </c>
      <c r="N491" s="157" t="str">
        <f t="shared" si="72"/>
        <v/>
      </c>
      <c r="O491" s="157">
        <f t="shared" si="73"/>
        <v>0.55000000000000004</v>
      </c>
      <c r="P491" s="158" t="str">
        <f t="shared" si="74"/>
        <v/>
      </c>
      <c r="Q491" s="157" t="str">
        <f t="shared" si="75"/>
        <v/>
      </c>
      <c r="R491" s="157" t="str">
        <f t="shared" si="76"/>
        <v/>
      </c>
    </row>
    <row r="492" spans="1:18" ht="25.5" customHeight="1" x14ac:dyDescent="0.25">
      <c r="A492" s="273" t="s">
        <v>31</v>
      </c>
      <c r="B492" s="265" t="s">
        <v>281</v>
      </c>
      <c r="C492" s="273" t="str">
        <f>VLOOKUP(B492,INSUMOS!$A:$I,2,FALSE)</f>
        <v>SINAPI</v>
      </c>
      <c r="D492" s="273" t="str">
        <f>VLOOKUP(B492,INSUMOS!$A:$I,3,FALSE)</f>
        <v>FERRAMENTAS - FAMILIA ENCANADOR - HORISTA (ENCARGOS COMPLEMENTARES - COLETADO CAIXA)</v>
      </c>
      <c r="E492" s="361" t="str">
        <f>VLOOKUP(B492,INSUMOS!$A:$I,4,FALSE)</f>
        <v>Equipamento</v>
      </c>
      <c r="F492" s="361"/>
      <c r="G492" s="264" t="str">
        <f>VLOOKUP(B492,INSUMOS!$A:$I,5,FALSE)</f>
        <v>H</v>
      </c>
      <c r="H492" s="267">
        <v>1</v>
      </c>
      <c r="I492" s="266">
        <f>VLOOKUP(B492,INSUMOS!$A:$I,8,FALSE)</f>
        <v>0.28000000000000003</v>
      </c>
      <c r="J492" s="266">
        <f t="shared" si="78"/>
        <v>0.28000000000000003</v>
      </c>
      <c r="L492" s="145">
        <f t="shared" si="70"/>
        <v>56</v>
      </c>
      <c r="M492" s="156">
        <f t="shared" si="71"/>
        <v>0.28000000000000003</v>
      </c>
      <c r="N492" s="157" t="str">
        <f t="shared" si="72"/>
        <v/>
      </c>
      <c r="O492" s="157">
        <f t="shared" si="73"/>
        <v>0.28000000000000003</v>
      </c>
      <c r="P492" s="158" t="str">
        <f t="shared" si="74"/>
        <v/>
      </c>
      <c r="Q492" s="157" t="str">
        <f t="shared" si="75"/>
        <v/>
      </c>
      <c r="R492" s="157" t="str">
        <f t="shared" si="76"/>
        <v/>
      </c>
    </row>
    <row r="493" spans="1:18" ht="15" customHeight="1" x14ac:dyDescent="0.25">
      <c r="A493" s="273" t="s">
        <v>31</v>
      </c>
      <c r="B493" s="265" t="s">
        <v>94</v>
      </c>
      <c r="C493" s="273" t="str">
        <f>VLOOKUP(B493,INSUMOS!$A:$I,2,FALSE)</f>
        <v>SINAPI</v>
      </c>
      <c r="D493" s="273" t="str">
        <f>VLOOKUP(B493,INSUMOS!$A:$I,3,FALSE)</f>
        <v>SEGURO - HORISTA (COLETADO CAIXA)</v>
      </c>
      <c r="E493" s="361" t="str">
        <f>VLOOKUP(B493,INSUMOS!$A:$I,4,FALSE)</f>
        <v>Taxas</v>
      </c>
      <c r="F493" s="361"/>
      <c r="G493" s="264" t="str">
        <f>VLOOKUP(B493,INSUMOS!$A:$I,5,FALSE)</f>
        <v>H</v>
      </c>
      <c r="H493" s="267">
        <v>1</v>
      </c>
      <c r="I493" s="266">
        <f>VLOOKUP(B493,INSUMOS!$A:$I,8,FALSE)</f>
        <v>0.06</v>
      </c>
      <c r="J493" s="266">
        <f t="shared" si="78"/>
        <v>0.06</v>
      </c>
      <c r="L493" s="145">
        <f t="shared" si="70"/>
        <v>56</v>
      </c>
      <c r="M493" s="156">
        <f t="shared" si="71"/>
        <v>0.06</v>
      </c>
      <c r="N493" s="157" t="str">
        <f t="shared" si="72"/>
        <v/>
      </c>
      <c r="O493" s="157">
        <f t="shared" si="73"/>
        <v>0.06</v>
      </c>
      <c r="P493" s="158" t="str">
        <f t="shared" si="74"/>
        <v/>
      </c>
      <c r="Q493" s="157" t="str">
        <f t="shared" si="75"/>
        <v/>
      </c>
      <c r="R493" s="157" t="str">
        <f t="shared" si="76"/>
        <v/>
      </c>
    </row>
    <row r="494" spans="1:18" x14ac:dyDescent="0.25">
      <c r="A494" s="273" t="s">
        <v>31</v>
      </c>
      <c r="B494" s="265" t="s">
        <v>95</v>
      </c>
      <c r="C494" s="273" t="str">
        <f>VLOOKUP(B494,INSUMOS!$A:$I,2,FALSE)</f>
        <v>SINAPI</v>
      </c>
      <c r="D494" s="273" t="str">
        <f>VLOOKUP(B494,INSUMOS!$A:$I,3,FALSE)</f>
        <v>TRANSPORTE - HORISTA (COLETADO CAIXA)</v>
      </c>
      <c r="E494" s="361" t="str">
        <f>VLOOKUP(B494,INSUMOS!$A:$I,4,FALSE)</f>
        <v>Serviços</v>
      </c>
      <c r="F494" s="361"/>
      <c r="G494" s="264" t="str">
        <f>VLOOKUP(B494,INSUMOS!$A:$I,5,FALSE)</f>
        <v>H</v>
      </c>
      <c r="H494" s="267">
        <v>1</v>
      </c>
      <c r="I494" s="266">
        <f>VLOOKUP(B494,INSUMOS!$A:$I,8,FALSE)</f>
        <v>1.36</v>
      </c>
      <c r="J494" s="266">
        <f t="shared" si="78"/>
        <v>1.36</v>
      </c>
      <c r="L494" s="145">
        <f t="shared" si="70"/>
        <v>56</v>
      </c>
      <c r="M494" s="156">
        <f t="shared" si="71"/>
        <v>1.36</v>
      </c>
      <c r="N494" s="157" t="str">
        <f t="shared" si="72"/>
        <v/>
      </c>
      <c r="O494" s="157">
        <f t="shared" si="73"/>
        <v>1.36</v>
      </c>
      <c r="P494" s="158" t="str">
        <f t="shared" si="74"/>
        <v/>
      </c>
      <c r="Q494" s="157" t="str">
        <f t="shared" si="75"/>
        <v/>
      </c>
      <c r="R494" s="157" t="str">
        <f t="shared" si="76"/>
        <v/>
      </c>
    </row>
    <row r="495" spans="1:18" ht="15" customHeight="1" x14ac:dyDescent="0.25">
      <c r="A495" s="274"/>
      <c r="B495" s="274"/>
      <c r="C495" s="274"/>
      <c r="D495" s="274"/>
      <c r="E495" s="274"/>
      <c r="F495" s="268"/>
      <c r="G495" s="274"/>
      <c r="H495" s="268"/>
      <c r="I495" s="274"/>
      <c r="J495" s="268"/>
      <c r="L495" s="145">
        <f t="shared" si="70"/>
        <v>56</v>
      </c>
      <c r="M495" s="156" t="str">
        <f t="shared" si="71"/>
        <v/>
      </c>
      <c r="N495" s="157" t="str">
        <f t="shared" si="72"/>
        <v/>
      </c>
      <c r="O495" s="157" t="str">
        <f t="shared" si="73"/>
        <v/>
      </c>
      <c r="P495" s="158" t="str">
        <f t="shared" si="74"/>
        <v/>
      </c>
      <c r="Q495" s="157" t="str">
        <f t="shared" si="75"/>
        <v/>
      </c>
      <c r="R495" s="157" t="str">
        <f t="shared" si="76"/>
        <v/>
      </c>
    </row>
    <row r="496" spans="1:18" ht="14.4" thickBot="1" x14ac:dyDescent="0.3">
      <c r="A496" s="274"/>
      <c r="B496" s="274"/>
      <c r="C496" s="274"/>
      <c r="D496" s="274"/>
      <c r="E496" s="274"/>
      <c r="F496" s="268"/>
      <c r="G496" s="274"/>
      <c r="H496" s="350"/>
      <c r="I496" s="350"/>
      <c r="J496" s="268"/>
      <c r="L496" s="145">
        <f t="shared" si="70"/>
        <v>56</v>
      </c>
      <c r="M496" s="156" t="str">
        <f t="shared" si="71"/>
        <v/>
      </c>
      <c r="N496" s="157" t="str">
        <f t="shared" si="72"/>
        <v/>
      </c>
      <c r="O496" s="157" t="str">
        <f t="shared" si="73"/>
        <v/>
      </c>
      <c r="P496" s="158" t="str">
        <f t="shared" si="74"/>
        <v/>
      </c>
      <c r="Q496" s="157" t="str">
        <f t="shared" si="75"/>
        <v/>
      </c>
      <c r="R496" s="157" t="str">
        <f t="shared" si="76"/>
        <v/>
      </c>
    </row>
    <row r="497" spans="1:18" ht="25.5" customHeight="1" thickTop="1" x14ac:dyDescent="0.25">
      <c r="A497" s="259"/>
      <c r="B497" s="259"/>
      <c r="C497" s="259"/>
      <c r="D497" s="259"/>
      <c r="E497" s="259"/>
      <c r="F497" s="259"/>
      <c r="G497" s="259"/>
      <c r="H497" s="259"/>
      <c r="I497" s="259"/>
      <c r="J497" s="259"/>
      <c r="L497" s="145">
        <f t="shared" si="70"/>
        <v>56</v>
      </c>
      <c r="M497" s="156" t="str">
        <f t="shared" si="71"/>
        <v/>
      </c>
      <c r="N497" s="157" t="str">
        <f t="shared" si="72"/>
        <v/>
      </c>
      <c r="O497" s="157" t="str">
        <f t="shared" si="73"/>
        <v/>
      </c>
      <c r="P497" s="158" t="str">
        <f t="shared" si="74"/>
        <v/>
      </c>
      <c r="Q497" s="157" t="str">
        <f t="shared" si="75"/>
        <v/>
      </c>
      <c r="R497" s="157" t="str">
        <f t="shared" si="76"/>
        <v/>
      </c>
    </row>
    <row r="498" spans="1:18" ht="25.5" customHeight="1" x14ac:dyDescent="0.25">
      <c r="A498" s="270"/>
      <c r="B498" s="254" t="s">
        <v>1</v>
      </c>
      <c r="C498" s="270" t="s">
        <v>2</v>
      </c>
      <c r="D498" s="270" t="s">
        <v>3</v>
      </c>
      <c r="E498" s="347" t="s">
        <v>19</v>
      </c>
      <c r="F498" s="347"/>
      <c r="G498" s="253" t="s">
        <v>4</v>
      </c>
      <c r="H498" s="254" t="s">
        <v>5</v>
      </c>
      <c r="I498" s="254" t="s">
        <v>6</v>
      </c>
      <c r="J498" s="254" t="s">
        <v>7</v>
      </c>
      <c r="L498" s="145">
        <f t="shared" si="70"/>
        <v>57</v>
      </c>
      <c r="M498" s="156" t="str">
        <f t="shared" si="71"/>
        <v/>
      </c>
      <c r="N498" s="157" t="str">
        <f t="shared" si="72"/>
        <v/>
      </c>
      <c r="O498" s="157" t="str">
        <f t="shared" si="73"/>
        <v/>
      </c>
      <c r="P498" s="158" t="str">
        <f t="shared" si="74"/>
        <v/>
      </c>
      <c r="Q498" s="157" t="str">
        <f t="shared" si="75"/>
        <v/>
      </c>
      <c r="R498" s="157" t="str">
        <f t="shared" si="76"/>
        <v/>
      </c>
    </row>
    <row r="499" spans="1:18" ht="52.8" x14ac:dyDescent="0.25">
      <c r="A499" s="271" t="s">
        <v>20</v>
      </c>
      <c r="B499" s="256" t="s">
        <v>667</v>
      </c>
      <c r="C499" s="271" t="s">
        <v>10</v>
      </c>
      <c r="D499" s="271" t="s">
        <v>668</v>
      </c>
      <c r="E499" s="362" t="s">
        <v>44</v>
      </c>
      <c r="F499" s="362"/>
      <c r="G499" s="255" t="s">
        <v>46</v>
      </c>
      <c r="H499" s="258">
        <v>1</v>
      </c>
      <c r="I499" s="257">
        <f>SUMIF(L:L,$L499,M:M)</f>
        <v>33.900000000000006</v>
      </c>
      <c r="J499" s="257">
        <f>TRUNC(H499*I499,2)</f>
        <v>33.9</v>
      </c>
      <c r="L499" s="145">
        <f t="shared" si="70"/>
        <v>57</v>
      </c>
      <c r="M499" s="156" t="str">
        <f t="shared" si="71"/>
        <v/>
      </c>
      <c r="N499" s="157" t="str">
        <f t="shared" si="72"/>
        <v/>
      </c>
      <c r="O499" s="157" t="str">
        <f t="shared" si="73"/>
        <v/>
      </c>
      <c r="P499" s="158" t="str">
        <f t="shared" si="74"/>
        <v xml:space="preserve"> 93403 </v>
      </c>
      <c r="Q499" s="157">
        <f t="shared" si="75"/>
        <v>0</v>
      </c>
      <c r="R499" s="157">
        <f t="shared" si="76"/>
        <v>33.900000000000006</v>
      </c>
    </row>
    <row r="500" spans="1:18" ht="25.5" customHeight="1" x14ac:dyDescent="0.25">
      <c r="A500" s="272" t="s">
        <v>22</v>
      </c>
      <c r="B500" s="261" t="s">
        <v>736</v>
      </c>
      <c r="C500" s="272" t="s">
        <v>10</v>
      </c>
      <c r="D500" s="272" t="s">
        <v>737</v>
      </c>
      <c r="E500" s="363" t="s">
        <v>44</v>
      </c>
      <c r="F500" s="363"/>
      <c r="G500" s="260" t="s">
        <v>28</v>
      </c>
      <c r="H500" s="263">
        <v>1</v>
      </c>
      <c r="I500" s="262">
        <f>SUMIFS(J:J,A:A,"Composição",B:B,$B500)</f>
        <v>0.96</v>
      </c>
      <c r="J500" s="262">
        <f>TRUNC(H500*I500,2)</f>
        <v>0.96</v>
      </c>
      <c r="L500" s="145">
        <f t="shared" si="70"/>
        <v>57</v>
      </c>
      <c r="M500" s="156">
        <f t="shared" si="71"/>
        <v>0.96</v>
      </c>
      <c r="N500" s="157" t="str">
        <f t="shared" si="72"/>
        <v/>
      </c>
      <c r="O500" s="157">
        <f t="shared" si="73"/>
        <v>0.96</v>
      </c>
      <c r="P500" s="158" t="str">
        <f t="shared" si="74"/>
        <v/>
      </c>
      <c r="Q500" s="157" t="str">
        <f t="shared" si="75"/>
        <v/>
      </c>
      <c r="R500" s="157" t="str">
        <f t="shared" si="76"/>
        <v/>
      </c>
    </row>
    <row r="501" spans="1:18" ht="15" customHeight="1" x14ac:dyDescent="0.25">
      <c r="A501" s="272" t="s">
        <v>22</v>
      </c>
      <c r="B501" s="261" t="s">
        <v>738</v>
      </c>
      <c r="C501" s="272" t="s">
        <v>10</v>
      </c>
      <c r="D501" s="272" t="s">
        <v>739</v>
      </c>
      <c r="E501" s="363" t="s">
        <v>44</v>
      </c>
      <c r="F501" s="363"/>
      <c r="G501" s="260" t="s">
        <v>28</v>
      </c>
      <c r="H501" s="263">
        <v>1</v>
      </c>
      <c r="I501" s="262">
        <f>SUMIFS(J:J,A:A,"Composição",B:B,$B501)</f>
        <v>2.4700000000000002</v>
      </c>
      <c r="J501" s="262">
        <f>TRUNC(H501*I501,2)</f>
        <v>2.4700000000000002</v>
      </c>
      <c r="L501" s="145">
        <f t="shared" si="70"/>
        <v>57</v>
      </c>
      <c r="M501" s="156">
        <f t="shared" si="71"/>
        <v>2.4700000000000002</v>
      </c>
      <c r="N501" s="157" t="str">
        <f t="shared" si="72"/>
        <v/>
      </c>
      <c r="O501" s="157">
        <f t="shared" si="73"/>
        <v>2.4700000000000002</v>
      </c>
      <c r="P501" s="158" t="str">
        <f t="shared" si="74"/>
        <v/>
      </c>
      <c r="Q501" s="157" t="str">
        <f t="shared" si="75"/>
        <v/>
      </c>
      <c r="R501" s="157" t="str">
        <f t="shared" si="76"/>
        <v/>
      </c>
    </row>
    <row r="502" spans="1:18" ht="52.8" x14ac:dyDescent="0.25">
      <c r="A502" s="272" t="s">
        <v>22</v>
      </c>
      <c r="B502" s="261" t="s">
        <v>740</v>
      </c>
      <c r="C502" s="272" t="s">
        <v>10</v>
      </c>
      <c r="D502" s="272" t="s">
        <v>741</v>
      </c>
      <c r="E502" s="363" t="s">
        <v>44</v>
      </c>
      <c r="F502" s="363"/>
      <c r="G502" s="260" t="s">
        <v>28</v>
      </c>
      <c r="H502" s="263">
        <v>1</v>
      </c>
      <c r="I502" s="262">
        <f>SUMIFS(J:J,A:A,"Composição",B:B,$B502)</f>
        <v>11.8</v>
      </c>
      <c r="J502" s="262">
        <f>TRUNC(H502*I502,2)</f>
        <v>11.8</v>
      </c>
      <c r="L502" s="145">
        <f t="shared" si="70"/>
        <v>57</v>
      </c>
      <c r="M502" s="156">
        <f t="shared" si="71"/>
        <v>11.8</v>
      </c>
      <c r="N502" s="157" t="str">
        <f t="shared" si="72"/>
        <v/>
      </c>
      <c r="O502" s="157">
        <f t="shared" si="73"/>
        <v>11.8</v>
      </c>
      <c r="P502" s="158" t="str">
        <f t="shared" si="74"/>
        <v/>
      </c>
      <c r="Q502" s="157" t="str">
        <f t="shared" si="75"/>
        <v/>
      </c>
      <c r="R502" s="157" t="str">
        <f t="shared" si="76"/>
        <v/>
      </c>
    </row>
    <row r="503" spans="1:18" ht="15" customHeight="1" x14ac:dyDescent="0.25">
      <c r="A503" s="272" t="s">
        <v>22</v>
      </c>
      <c r="B503" s="261" t="s">
        <v>663</v>
      </c>
      <c r="C503" s="272" t="s">
        <v>10</v>
      </c>
      <c r="D503" s="272" t="s">
        <v>664</v>
      </c>
      <c r="E503" s="363" t="s">
        <v>27</v>
      </c>
      <c r="F503" s="363"/>
      <c r="G503" s="260" t="s">
        <v>28</v>
      </c>
      <c r="H503" s="263">
        <v>1</v>
      </c>
      <c r="I503" s="262">
        <f>SUMIFS(J:J,A:A,"Composição",B:B,$B503)</f>
        <v>18.670000000000002</v>
      </c>
      <c r="J503" s="262">
        <f>TRUNC(H503*I503,2)</f>
        <v>18.670000000000002</v>
      </c>
      <c r="L503" s="145">
        <f t="shared" si="70"/>
        <v>57</v>
      </c>
      <c r="M503" s="156">
        <f t="shared" si="71"/>
        <v>18.670000000000002</v>
      </c>
      <c r="N503" s="157" t="str">
        <f t="shared" si="72"/>
        <v/>
      </c>
      <c r="O503" s="157">
        <f t="shared" si="73"/>
        <v>18.670000000000002</v>
      </c>
      <c r="P503" s="158" t="str">
        <f t="shared" si="74"/>
        <v/>
      </c>
      <c r="Q503" s="157" t="str">
        <f t="shared" si="75"/>
        <v/>
      </c>
      <c r="R503" s="157" t="str">
        <f t="shared" si="76"/>
        <v/>
      </c>
    </row>
    <row r="504" spans="1:18" x14ac:dyDescent="0.25">
      <c r="A504" s="274"/>
      <c r="B504" s="274"/>
      <c r="C504" s="274"/>
      <c r="D504" s="274"/>
      <c r="E504" s="274"/>
      <c r="F504" s="268"/>
      <c r="G504" s="274"/>
      <c r="H504" s="268"/>
      <c r="I504" s="274"/>
      <c r="J504" s="268"/>
      <c r="L504" s="145">
        <f t="shared" si="70"/>
        <v>57</v>
      </c>
      <c r="M504" s="156" t="str">
        <f t="shared" si="71"/>
        <v/>
      </c>
      <c r="N504" s="157" t="str">
        <f t="shared" si="72"/>
        <v/>
      </c>
      <c r="O504" s="157" t="str">
        <f t="shared" si="73"/>
        <v/>
      </c>
      <c r="P504" s="158" t="str">
        <f t="shared" si="74"/>
        <v/>
      </c>
      <c r="Q504" s="157" t="str">
        <f t="shared" si="75"/>
        <v/>
      </c>
      <c r="R504" s="157" t="str">
        <f t="shared" si="76"/>
        <v/>
      </c>
    </row>
    <row r="505" spans="1:18" ht="14.4" thickBot="1" x14ac:dyDescent="0.3">
      <c r="A505" s="274"/>
      <c r="B505" s="274"/>
      <c r="C505" s="274"/>
      <c r="D505" s="274"/>
      <c r="E505" s="274"/>
      <c r="F505" s="268"/>
      <c r="G505" s="274"/>
      <c r="H505" s="350"/>
      <c r="I505" s="350"/>
      <c r="J505" s="268"/>
      <c r="L505" s="145">
        <f t="shared" si="70"/>
        <v>57</v>
      </c>
      <c r="M505" s="156" t="str">
        <f t="shared" si="71"/>
        <v/>
      </c>
      <c r="N505" s="157" t="str">
        <f t="shared" si="72"/>
        <v/>
      </c>
      <c r="O505" s="157" t="str">
        <f t="shared" si="73"/>
        <v/>
      </c>
      <c r="P505" s="158" t="str">
        <f t="shared" si="74"/>
        <v/>
      </c>
      <c r="Q505" s="157" t="str">
        <f t="shared" si="75"/>
        <v/>
      </c>
      <c r="R505" s="157" t="str">
        <f t="shared" si="76"/>
        <v/>
      </c>
    </row>
    <row r="506" spans="1:18" ht="14.4" thickTop="1" x14ac:dyDescent="0.25">
      <c r="A506" s="259"/>
      <c r="B506" s="259"/>
      <c r="C506" s="259"/>
      <c r="D506" s="259"/>
      <c r="E506" s="259"/>
      <c r="F506" s="259"/>
      <c r="G506" s="259"/>
      <c r="H506" s="259"/>
      <c r="I506" s="259"/>
      <c r="J506" s="259"/>
      <c r="L506" s="145">
        <f t="shared" si="70"/>
        <v>57</v>
      </c>
      <c r="M506" s="156" t="str">
        <f t="shared" si="71"/>
        <v/>
      </c>
      <c r="N506" s="157" t="str">
        <f t="shared" si="72"/>
        <v/>
      </c>
      <c r="O506" s="157" t="str">
        <f t="shared" si="73"/>
        <v/>
      </c>
      <c r="P506" s="158" t="str">
        <f t="shared" si="74"/>
        <v/>
      </c>
      <c r="Q506" s="157" t="str">
        <f t="shared" si="75"/>
        <v/>
      </c>
      <c r="R506" s="157" t="str">
        <f t="shared" si="76"/>
        <v/>
      </c>
    </row>
    <row r="507" spans="1:18" ht="25.5" customHeight="1" x14ac:dyDescent="0.25">
      <c r="A507" s="270"/>
      <c r="B507" s="254" t="s">
        <v>1</v>
      </c>
      <c r="C507" s="270" t="s">
        <v>2</v>
      </c>
      <c r="D507" s="270" t="s">
        <v>3</v>
      </c>
      <c r="E507" s="347" t="s">
        <v>19</v>
      </c>
      <c r="F507" s="347"/>
      <c r="G507" s="253" t="s">
        <v>4</v>
      </c>
      <c r="H507" s="254" t="s">
        <v>5</v>
      </c>
      <c r="I507" s="254" t="s">
        <v>6</v>
      </c>
      <c r="J507" s="254" t="s">
        <v>7</v>
      </c>
      <c r="L507" s="145">
        <f t="shared" si="70"/>
        <v>58</v>
      </c>
      <c r="M507" s="156" t="str">
        <f t="shared" si="71"/>
        <v/>
      </c>
      <c r="N507" s="157" t="str">
        <f t="shared" si="72"/>
        <v/>
      </c>
      <c r="O507" s="157" t="str">
        <f t="shared" si="73"/>
        <v/>
      </c>
      <c r="P507" s="158" t="str">
        <f t="shared" si="74"/>
        <v/>
      </c>
      <c r="Q507" s="157" t="str">
        <f t="shared" si="75"/>
        <v/>
      </c>
      <c r="R507" s="157" t="str">
        <f t="shared" si="76"/>
        <v/>
      </c>
    </row>
    <row r="508" spans="1:18" ht="52.8" x14ac:dyDescent="0.25">
      <c r="A508" s="271" t="s">
        <v>20</v>
      </c>
      <c r="B508" s="256" t="s">
        <v>665</v>
      </c>
      <c r="C508" s="271" t="s">
        <v>10</v>
      </c>
      <c r="D508" s="271" t="s">
        <v>666</v>
      </c>
      <c r="E508" s="362" t="s">
        <v>44</v>
      </c>
      <c r="F508" s="362"/>
      <c r="G508" s="255" t="s">
        <v>45</v>
      </c>
      <c r="H508" s="258">
        <v>1</v>
      </c>
      <c r="I508" s="257">
        <f>SUMIF(L:L,$L508,M:M)</f>
        <v>176.54000000000002</v>
      </c>
      <c r="J508" s="257">
        <f t="shared" ref="J508:J514" si="79">TRUNC(H508*I508,2)</f>
        <v>176.54</v>
      </c>
      <c r="L508" s="145">
        <f t="shared" si="70"/>
        <v>58</v>
      </c>
      <c r="M508" s="156" t="str">
        <f t="shared" si="71"/>
        <v/>
      </c>
      <c r="N508" s="157" t="str">
        <f t="shared" si="72"/>
        <v/>
      </c>
      <c r="O508" s="157" t="str">
        <f t="shared" si="73"/>
        <v/>
      </c>
      <c r="P508" s="158" t="str">
        <f t="shared" si="74"/>
        <v xml:space="preserve"> 93402 </v>
      </c>
      <c r="Q508" s="157">
        <f t="shared" si="75"/>
        <v>0</v>
      </c>
      <c r="R508" s="157">
        <f t="shared" si="76"/>
        <v>176.54000000000002</v>
      </c>
    </row>
    <row r="509" spans="1:18" ht="52.8" x14ac:dyDescent="0.25">
      <c r="A509" s="272" t="s">
        <v>22</v>
      </c>
      <c r="B509" s="261" t="s">
        <v>736</v>
      </c>
      <c r="C509" s="272" t="s">
        <v>10</v>
      </c>
      <c r="D509" s="272" t="s">
        <v>737</v>
      </c>
      <c r="E509" s="363" t="s">
        <v>44</v>
      </c>
      <c r="F509" s="363"/>
      <c r="G509" s="260" t="s">
        <v>28</v>
      </c>
      <c r="H509" s="263">
        <v>1</v>
      </c>
      <c r="I509" s="262">
        <f t="shared" ref="I509:I514" si="80">SUMIFS(J:J,A:A,"Composição",B:B,$B509)</f>
        <v>0.96</v>
      </c>
      <c r="J509" s="262">
        <f t="shared" si="79"/>
        <v>0.96</v>
      </c>
      <c r="L509" s="145">
        <f t="shared" si="70"/>
        <v>58</v>
      </c>
      <c r="M509" s="156">
        <f t="shared" si="71"/>
        <v>0.96</v>
      </c>
      <c r="N509" s="157" t="str">
        <f t="shared" si="72"/>
        <v/>
      </c>
      <c r="O509" s="157">
        <f t="shared" si="73"/>
        <v>0.96</v>
      </c>
      <c r="P509" s="158" t="str">
        <f t="shared" si="74"/>
        <v/>
      </c>
      <c r="Q509" s="157" t="str">
        <f t="shared" si="75"/>
        <v/>
      </c>
      <c r="R509" s="157" t="str">
        <f t="shared" si="76"/>
        <v/>
      </c>
    </row>
    <row r="510" spans="1:18" ht="15" customHeight="1" x14ac:dyDescent="0.25">
      <c r="A510" s="272" t="s">
        <v>22</v>
      </c>
      <c r="B510" s="261" t="s">
        <v>742</v>
      </c>
      <c r="C510" s="272" t="s">
        <v>10</v>
      </c>
      <c r="D510" s="272" t="s">
        <v>743</v>
      </c>
      <c r="E510" s="363" t="s">
        <v>44</v>
      </c>
      <c r="F510" s="363"/>
      <c r="G510" s="260" t="s">
        <v>28</v>
      </c>
      <c r="H510" s="263">
        <v>1</v>
      </c>
      <c r="I510" s="262">
        <f t="shared" si="80"/>
        <v>120.52</v>
      </c>
      <c r="J510" s="262">
        <f t="shared" si="79"/>
        <v>120.52</v>
      </c>
      <c r="L510" s="145">
        <f t="shared" si="70"/>
        <v>58</v>
      </c>
      <c r="M510" s="156">
        <f t="shared" si="71"/>
        <v>120.52</v>
      </c>
      <c r="N510" s="157" t="str">
        <f t="shared" si="72"/>
        <v/>
      </c>
      <c r="O510" s="157">
        <f t="shared" si="73"/>
        <v>120.52</v>
      </c>
      <c r="P510" s="158" t="str">
        <f t="shared" si="74"/>
        <v/>
      </c>
      <c r="Q510" s="157" t="str">
        <f t="shared" si="75"/>
        <v/>
      </c>
      <c r="R510" s="157" t="str">
        <f t="shared" si="76"/>
        <v/>
      </c>
    </row>
    <row r="511" spans="1:18" ht="52.8" x14ac:dyDescent="0.25">
      <c r="A511" s="272" t="s">
        <v>22</v>
      </c>
      <c r="B511" s="261" t="s">
        <v>744</v>
      </c>
      <c r="C511" s="272" t="s">
        <v>10</v>
      </c>
      <c r="D511" s="272" t="s">
        <v>745</v>
      </c>
      <c r="E511" s="363" t="s">
        <v>44</v>
      </c>
      <c r="F511" s="363"/>
      <c r="G511" s="260" t="s">
        <v>28</v>
      </c>
      <c r="H511" s="263">
        <v>1</v>
      </c>
      <c r="I511" s="262">
        <f t="shared" si="80"/>
        <v>22.12</v>
      </c>
      <c r="J511" s="262">
        <f t="shared" si="79"/>
        <v>22.12</v>
      </c>
      <c r="L511" s="145">
        <f t="shared" si="70"/>
        <v>58</v>
      </c>
      <c r="M511" s="156">
        <f t="shared" si="71"/>
        <v>22.12</v>
      </c>
      <c r="N511" s="157" t="str">
        <f t="shared" si="72"/>
        <v/>
      </c>
      <c r="O511" s="157">
        <f t="shared" si="73"/>
        <v>22.12</v>
      </c>
      <c r="P511" s="158" t="str">
        <f t="shared" si="74"/>
        <v/>
      </c>
      <c r="Q511" s="157" t="str">
        <f t="shared" si="75"/>
        <v/>
      </c>
      <c r="R511" s="157" t="str">
        <f t="shared" si="76"/>
        <v/>
      </c>
    </row>
    <row r="512" spans="1:18" ht="52.8" x14ac:dyDescent="0.25">
      <c r="A512" s="272" t="s">
        <v>22</v>
      </c>
      <c r="B512" s="261" t="s">
        <v>738</v>
      </c>
      <c r="C512" s="272" t="s">
        <v>10</v>
      </c>
      <c r="D512" s="272" t="s">
        <v>739</v>
      </c>
      <c r="E512" s="363" t="s">
        <v>44</v>
      </c>
      <c r="F512" s="363"/>
      <c r="G512" s="260" t="s">
        <v>28</v>
      </c>
      <c r="H512" s="263">
        <v>1</v>
      </c>
      <c r="I512" s="262">
        <f t="shared" si="80"/>
        <v>2.4700000000000002</v>
      </c>
      <c r="J512" s="262">
        <f t="shared" si="79"/>
        <v>2.4700000000000002</v>
      </c>
      <c r="L512" s="145">
        <f t="shared" si="70"/>
        <v>58</v>
      </c>
      <c r="M512" s="156">
        <f t="shared" si="71"/>
        <v>2.4700000000000002</v>
      </c>
      <c r="N512" s="157" t="str">
        <f t="shared" si="72"/>
        <v/>
      </c>
      <c r="O512" s="157">
        <f t="shared" si="73"/>
        <v>2.4700000000000002</v>
      </c>
      <c r="P512" s="158" t="str">
        <f t="shared" si="74"/>
        <v/>
      </c>
      <c r="Q512" s="157" t="str">
        <f t="shared" si="75"/>
        <v/>
      </c>
      <c r="R512" s="157" t="str">
        <f t="shared" si="76"/>
        <v/>
      </c>
    </row>
    <row r="513" spans="1:18" ht="15" customHeight="1" x14ac:dyDescent="0.25">
      <c r="A513" s="272" t="s">
        <v>22</v>
      </c>
      <c r="B513" s="261" t="s">
        <v>740</v>
      </c>
      <c r="C513" s="272" t="s">
        <v>10</v>
      </c>
      <c r="D513" s="272" t="s">
        <v>741</v>
      </c>
      <c r="E513" s="363" t="s">
        <v>44</v>
      </c>
      <c r="F513" s="363"/>
      <c r="G513" s="260" t="s">
        <v>28</v>
      </c>
      <c r="H513" s="263">
        <v>1</v>
      </c>
      <c r="I513" s="262">
        <f t="shared" si="80"/>
        <v>11.8</v>
      </c>
      <c r="J513" s="262">
        <f t="shared" si="79"/>
        <v>11.8</v>
      </c>
      <c r="L513" s="145">
        <f t="shared" si="70"/>
        <v>58</v>
      </c>
      <c r="M513" s="156">
        <f t="shared" si="71"/>
        <v>11.8</v>
      </c>
      <c r="N513" s="157" t="str">
        <f t="shared" si="72"/>
        <v/>
      </c>
      <c r="O513" s="157">
        <f t="shared" si="73"/>
        <v>11.8</v>
      </c>
      <c r="P513" s="158" t="str">
        <f t="shared" si="74"/>
        <v/>
      </c>
      <c r="Q513" s="157" t="str">
        <f t="shared" si="75"/>
        <v/>
      </c>
      <c r="R513" s="157" t="str">
        <f t="shared" si="76"/>
        <v/>
      </c>
    </row>
    <row r="514" spans="1:18" ht="26.4" x14ac:dyDescent="0.25">
      <c r="A514" s="272" t="s">
        <v>22</v>
      </c>
      <c r="B514" s="261" t="s">
        <v>663</v>
      </c>
      <c r="C514" s="272" t="s">
        <v>10</v>
      </c>
      <c r="D514" s="272" t="s">
        <v>664</v>
      </c>
      <c r="E514" s="363" t="s">
        <v>27</v>
      </c>
      <c r="F514" s="363"/>
      <c r="G514" s="260" t="s">
        <v>28</v>
      </c>
      <c r="H514" s="263">
        <v>1</v>
      </c>
      <c r="I514" s="262">
        <f t="shared" si="80"/>
        <v>18.670000000000002</v>
      </c>
      <c r="J514" s="262">
        <f t="shared" si="79"/>
        <v>18.670000000000002</v>
      </c>
      <c r="L514" s="145">
        <f t="shared" si="70"/>
        <v>58</v>
      </c>
      <c r="M514" s="156">
        <f t="shared" si="71"/>
        <v>18.670000000000002</v>
      </c>
      <c r="N514" s="157" t="str">
        <f t="shared" si="72"/>
        <v/>
      </c>
      <c r="O514" s="157">
        <f t="shared" si="73"/>
        <v>18.670000000000002</v>
      </c>
      <c r="P514" s="158" t="str">
        <f t="shared" si="74"/>
        <v/>
      </c>
      <c r="Q514" s="157" t="str">
        <f t="shared" si="75"/>
        <v/>
      </c>
      <c r="R514" s="157" t="str">
        <f t="shared" si="76"/>
        <v/>
      </c>
    </row>
    <row r="515" spans="1:18" x14ac:dyDescent="0.25">
      <c r="A515" s="274"/>
      <c r="B515" s="274"/>
      <c r="C515" s="274"/>
      <c r="D515" s="274"/>
      <c r="E515" s="274"/>
      <c r="F515" s="268"/>
      <c r="G515" s="274"/>
      <c r="H515" s="268"/>
      <c r="I515" s="274"/>
      <c r="J515" s="268"/>
      <c r="L515" s="145">
        <f t="shared" si="70"/>
        <v>58</v>
      </c>
      <c r="M515" s="156" t="str">
        <f t="shared" si="71"/>
        <v/>
      </c>
      <c r="N515" s="157" t="str">
        <f t="shared" si="72"/>
        <v/>
      </c>
      <c r="O515" s="157" t="str">
        <f t="shared" si="73"/>
        <v/>
      </c>
      <c r="P515" s="158" t="str">
        <f t="shared" si="74"/>
        <v/>
      </c>
      <c r="Q515" s="157" t="str">
        <f t="shared" si="75"/>
        <v/>
      </c>
      <c r="R515" s="157" t="str">
        <f t="shared" si="76"/>
        <v/>
      </c>
    </row>
    <row r="516" spans="1:18" ht="14.4" thickBot="1" x14ac:dyDescent="0.3">
      <c r="A516" s="274"/>
      <c r="B516" s="274"/>
      <c r="C516" s="274"/>
      <c r="D516" s="274"/>
      <c r="E516" s="274"/>
      <c r="F516" s="268"/>
      <c r="G516" s="274"/>
      <c r="H516" s="350"/>
      <c r="I516" s="350"/>
      <c r="J516" s="268"/>
      <c r="L516" s="145">
        <f t="shared" si="70"/>
        <v>58</v>
      </c>
      <c r="M516" s="156" t="str">
        <f t="shared" si="71"/>
        <v/>
      </c>
      <c r="N516" s="157" t="str">
        <f t="shared" si="72"/>
        <v/>
      </c>
      <c r="O516" s="157" t="str">
        <f t="shared" si="73"/>
        <v/>
      </c>
      <c r="P516" s="158" t="str">
        <f t="shared" si="74"/>
        <v/>
      </c>
      <c r="Q516" s="157" t="str">
        <f t="shared" si="75"/>
        <v/>
      </c>
      <c r="R516" s="157" t="str">
        <f t="shared" si="76"/>
        <v/>
      </c>
    </row>
    <row r="517" spans="1:18" ht="25.5" customHeight="1" thickTop="1" x14ac:dyDescent="0.25">
      <c r="A517" s="259"/>
      <c r="B517" s="259"/>
      <c r="C517" s="259"/>
      <c r="D517" s="259"/>
      <c r="E517" s="259"/>
      <c r="F517" s="259"/>
      <c r="G517" s="259"/>
      <c r="H517" s="259"/>
      <c r="I517" s="259"/>
      <c r="J517" s="259"/>
      <c r="L517" s="145">
        <f t="shared" si="70"/>
        <v>58</v>
      </c>
      <c r="M517" s="156" t="str">
        <f t="shared" si="71"/>
        <v/>
      </c>
      <c r="N517" s="157" t="str">
        <f t="shared" si="72"/>
        <v/>
      </c>
      <c r="O517" s="157" t="str">
        <f t="shared" si="73"/>
        <v/>
      </c>
      <c r="P517" s="158" t="str">
        <f t="shared" si="74"/>
        <v/>
      </c>
      <c r="Q517" s="157" t="str">
        <f t="shared" si="75"/>
        <v/>
      </c>
      <c r="R517" s="157" t="str">
        <f t="shared" si="76"/>
        <v/>
      </c>
    </row>
    <row r="518" spans="1:18" x14ac:dyDescent="0.25">
      <c r="A518" s="270"/>
      <c r="B518" s="254" t="s">
        <v>1</v>
      </c>
      <c r="C518" s="270" t="s">
        <v>2</v>
      </c>
      <c r="D518" s="270" t="s">
        <v>3</v>
      </c>
      <c r="E518" s="347" t="s">
        <v>19</v>
      </c>
      <c r="F518" s="347"/>
      <c r="G518" s="253" t="s">
        <v>4</v>
      </c>
      <c r="H518" s="254" t="s">
        <v>5</v>
      </c>
      <c r="I518" s="254" t="s">
        <v>6</v>
      </c>
      <c r="J518" s="254" t="s">
        <v>7</v>
      </c>
      <c r="L518" s="145">
        <f t="shared" si="70"/>
        <v>59</v>
      </c>
      <c r="M518" s="156" t="str">
        <f t="shared" si="71"/>
        <v/>
      </c>
      <c r="N518" s="157" t="str">
        <f t="shared" si="72"/>
        <v/>
      </c>
      <c r="O518" s="157" t="str">
        <f t="shared" si="73"/>
        <v/>
      </c>
      <c r="P518" s="158" t="str">
        <f t="shared" si="74"/>
        <v/>
      </c>
      <c r="Q518" s="157" t="str">
        <f t="shared" si="75"/>
        <v/>
      </c>
      <c r="R518" s="157" t="str">
        <f t="shared" si="76"/>
        <v/>
      </c>
    </row>
    <row r="519" spans="1:18" ht="15" customHeight="1" x14ac:dyDescent="0.25">
      <c r="A519" s="271" t="s">
        <v>20</v>
      </c>
      <c r="B519" s="256" t="s">
        <v>740</v>
      </c>
      <c r="C519" s="271" t="s">
        <v>10</v>
      </c>
      <c r="D519" s="271" t="s">
        <v>741</v>
      </c>
      <c r="E519" s="362" t="s">
        <v>44</v>
      </c>
      <c r="F519" s="362"/>
      <c r="G519" s="255" t="s">
        <v>28</v>
      </c>
      <c r="H519" s="258">
        <v>1</v>
      </c>
      <c r="I519" s="257">
        <f>SUMIF(L:L,$L519,M:M)</f>
        <v>11.8</v>
      </c>
      <c r="J519" s="257">
        <f>TRUNC(H519*I519,2)</f>
        <v>11.8</v>
      </c>
      <c r="L519" s="145">
        <f t="shared" si="70"/>
        <v>59</v>
      </c>
      <c r="M519" s="156" t="str">
        <f t="shared" si="71"/>
        <v/>
      </c>
      <c r="N519" s="157" t="str">
        <f t="shared" si="72"/>
        <v/>
      </c>
      <c r="O519" s="157" t="str">
        <f t="shared" si="73"/>
        <v/>
      </c>
      <c r="P519" s="158" t="str">
        <f t="shared" si="74"/>
        <v xml:space="preserve"> 93397 </v>
      </c>
      <c r="Q519" s="157">
        <f t="shared" si="75"/>
        <v>0</v>
      </c>
      <c r="R519" s="157">
        <f t="shared" si="76"/>
        <v>11.8</v>
      </c>
    </row>
    <row r="520" spans="1:18" ht="39.6" x14ac:dyDescent="0.25">
      <c r="A520" s="273" t="s">
        <v>31</v>
      </c>
      <c r="B520" s="265" t="s">
        <v>327</v>
      </c>
      <c r="C520" s="273" t="str">
        <f>VLOOKUP(B520,INSUMOS!$A:$I,2,FALSE)</f>
        <v>SINAPI</v>
      </c>
      <c r="D520" s="273" t="str">
        <f>VLOOKUP(B520,INSUMOS!$A:$I,3,FALSE)</f>
        <v>CAMINHAO TOCO, PESO BRUTO TOTAL 16000 KG, CARGA UTIL MAXIMA DE 10685 KG, DISTANCIA ENTRE EIXOS 4,8M, POTENCIA 189 CV (INCLUI CABINE E CHASSI, NAO INCLUI CARROCERIA)</v>
      </c>
      <c r="E520" s="361" t="str">
        <f>VLOOKUP(B520,INSUMOS!$A:$I,4,FALSE)</f>
        <v>Equipamento</v>
      </c>
      <c r="F520" s="361"/>
      <c r="G520" s="264" t="str">
        <f>VLOOKUP(B520,INSUMOS!$A:$I,5,FALSE)</f>
        <v>UN</v>
      </c>
      <c r="H520" s="267">
        <v>3.43E-5</v>
      </c>
      <c r="I520" s="266">
        <f>VLOOKUP(B520,INSUMOS!$A:$I,8,FALSE)</f>
        <v>268885.81</v>
      </c>
      <c r="J520" s="266">
        <f>TRUNC(H520*I520,2)</f>
        <v>9.2200000000000006</v>
      </c>
      <c r="L520" s="145">
        <f t="shared" si="70"/>
        <v>59</v>
      </c>
      <c r="M520" s="156">
        <f t="shared" si="71"/>
        <v>9.2200000000000006</v>
      </c>
      <c r="N520" s="157" t="str">
        <f t="shared" si="72"/>
        <v/>
      </c>
      <c r="O520" s="157">
        <f t="shared" si="73"/>
        <v>9.2200000000000006</v>
      </c>
      <c r="P520" s="158" t="str">
        <f t="shared" si="74"/>
        <v/>
      </c>
      <c r="Q520" s="157" t="str">
        <f t="shared" si="75"/>
        <v/>
      </c>
      <c r="R520" s="157" t="str">
        <f t="shared" si="76"/>
        <v/>
      </c>
    </row>
    <row r="521" spans="1:18" ht="52.8" x14ac:dyDescent="0.25">
      <c r="A521" s="273" t="s">
        <v>31</v>
      </c>
      <c r="B521" s="265" t="s">
        <v>504</v>
      </c>
      <c r="C521" s="273" t="str">
        <f>VLOOKUP(B521,INSUMOS!$A:$I,2,FALSE)</f>
        <v>SINAPI</v>
      </c>
      <c r="D521" s="273" t="str">
        <f>VLOOKUP(B521,INSUMOS!$A:$I,3,FALSE)</f>
        <v>GUINDAUTO HIDRAULICO, CAPACIDADE MAXIMA DE CARGA 3300 KG, MOMENTO MAXIMO DE CARGA 5,8 TM , ALCANCE MAXIMO HORIZONTAL  7,60 M, PARA MONTAGEM SOBRE CHASSI DE CAMINHAO PBT MINIMO 8000 KG (INCLUI MONTAGEM, NAO INCLUI CAMINHAO)</v>
      </c>
      <c r="E521" s="361" t="str">
        <f>VLOOKUP(B521,INSUMOS!$A:$I,4,FALSE)</f>
        <v>Equipamento</v>
      </c>
      <c r="F521" s="361"/>
      <c r="G521" s="264" t="str">
        <f>VLOOKUP(B521,INSUMOS!$A:$I,5,FALSE)</f>
        <v>UN</v>
      </c>
      <c r="H521" s="267">
        <v>3.43E-5</v>
      </c>
      <c r="I521" s="266">
        <f>VLOOKUP(B521,INSUMOS!$A:$I,8,FALSE)</f>
        <v>75359.37</v>
      </c>
      <c r="J521" s="266">
        <f>TRUNC(H521*I521,2)</f>
        <v>2.58</v>
      </c>
      <c r="L521" s="145">
        <f t="shared" si="70"/>
        <v>59</v>
      </c>
      <c r="M521" s="156">
        <f t="shared" si="71"/>
        <v>2.58</v>
      </c>
      <c r="N521" s="157" t="str">
        <f t="shared" si="72"/>
        <v/>
      </c>
      <c r="O521" s="157">
        <f t="shared" si="73"/>
        <v>2.58</v>
      </c>
      <c r="P521" s="158" t="str">
        <f t="shared" si="74"/>
        <v/>
      </c>
      <c r="Q521" s="157" t="str">
        <f t="shared" si="75"/>
        <v/>
      </c>
      <c r="R521" s="157" t="str">
        <f t="shared" si="76"/>
        <v/>
      </c>
    </row>
    <row r="522" spans="1:18" x14ac:dyDescent="0.25">
      <c r="A522" s="274"/>
      <c r="B522" s="274"/>
      <c r="C522" s="274"/>
      <c r="D522" s="274"/>
      <c r="E522" s="274"/>
      <c r="F522" s="268"/>
      <c r="G522" s="274"/>
      <c r="H522" s="268"/>
      <c r="I522" s="274"/>
      <c r="J522" s="268"/>
      <c r="L522" s="145">
        <f t="shared" si="70"/>
        <v>59</v>
      </c>
      <c r="M522" s="156" t="str">
        <f t="shared" si="71"/>
        <v/>
      </c>
      <c r="N522" s="157" t="str">
        <f t="shared" si="72"/>
        <v/>
      </c>
      <c r="O522" s="157" t="str">
        <f t="shared" si="73"/>
        <v/>
      </c>
      <c r="P522" s="158" t="str">
        <f t="shared" si="74"/>
        <v/>
      </c>
      <c r="Q522" s="157" t="str">
        <f t="shared" si="75"/>
        <v/>
      </c>
      <c r="R522" s="157" t="str">
        <f t="shared" si="76"/>
        <v/>
      </c>
    </row>
    <row r="523" spans="1:18" ht="15" customHeight="1" thickBot="1" x14ac:dyDescent="0.3">
      <c r="A523" s="274"/>
      <c r="B523" s="274"/>
      <c r="C523" s="274"/>
      <c r="D523" s="274"/>
      <c r="E523" s="274"/>
      <c r="F523" s="268"/>
      <c r="G523" s="274"/>
      <c r="H523" s="350"/>
      <c r="I523" s="350"/>
      <c r="J523" s="268"/>
      <c r="L523" s="145">
        <f t="shared" si="70"/>
        <v>59</v>
      </c>
      <c r="M523" s="156" t="str">
        <f t="shared" si="71"/>
        <v/>
      </c>
      <c r="N523" s="157" t="str">
        <f t="shared" si="72"/>
        <v/>
      </c>
      <c r="O523" s="157" t="str">
        <f t="shared" si="73"/>
        <v/>
      </c>
      <c r="P523" s="158" t="str">
        <f t="shared" si="74"/>
        <v/>
      </c>
      <c r="Q523" s="157" t="str">
        <f t="shared" si="75"/>
        <v/>
      </c>
      <c r="R523" s="157" t="str">
        <f t="shared" si="76"/>
        <v/>
      </c>
    </row>
    <row r="524" spans="1:18" ht="14.4" thickTop="1" x14ac:dyDescent="0.25">
      <c r="A524" s="259"/>
      <c r="B524" s="259"/>
      <c r="C524" s="259"/>
      <c r="D524" s="259"/>
      <c r="E524" s="259"/>
      <c r="F524" s="259"/>
      <c r="G524" s="259"/>
      <c r="H524" s="259"/>
      <c r="I524" s="259"/>
      <c r="J524" s="259"/>
      <c r="L524" s="145">
        <f t="shared" si="70"/>
        <v>59</v>
      </c>
      <c r="M524" s="156" t="str">
        <f t="shared" si="71"/>
        <v/>
      </c>
      <c r="N524" s="157" t="str">
        <f t="shared" si="72"/>
        <v/>
      </c>
      <c r="O524" s="157" t="str">
        <f t="shared" si="73"/>
        <v/>
      </c>
      <c r="P524" s="158" t="str">
        <f t="shared" si="74"/>
        <v/>
      </c>
      <c r="Q524" s="157" t="str">
        <f t="shared" si="75"/>
        <v/>
      </c>
      <c r="R524" s="157" t="str">
        <f t="shared" si="76"/>
        <v/>
      </c>
    </row>
    <row r="525" spans="1:18" x14ac:dyDescent="0.25">
      <c r="A525" s="270"/>
      <c r="B525" s="254" t="s">
        <v>1</v>
      </c>
      <c r="C525" s="270" t="s">
        <v>2</v>
      </c>
      <c r="D525" s="270" t="s">
        <v>3</v>
      </c>
      <c r="E525" s="347" t="s">
        <v>19</v>
      </c>
      <c r="F525" s="347"/>
      <c r="G525" s="253" t="s">
        <v>4</v>
      </c>
      <c r="H525" s="254" t="s">
        <v>5</v>
      </c>
      <c r="I525" s="254" t="s">
        <v>6</v>
      </c>
      <c r="J525" s="254" t="s">
        <v>7</v>
      </c>
      <c r="L525" s="145">
        <f t="shared" si="70"/>
        <v>60</v>
      </c>
      <c r="M525" s="156" t="str">
        <f t="shared" si="71"/>
        <v/>
      </c>
      <c r="N525" s="157" t="str">
        <f t="shared" si="72"/>
        <v/>
      </c>
      <c r="O525" s="157" t="str">
        <f t="shared" si="73"/>
        <v/>
      </c>
      <c r="P525" s="158" t="str">
        <f t="shared" si="74"/>
        <v/>
      </c>
      <c r="Q525" s="157" t="str">
        <f t="shared" si="75"/>
        <v/>
      </c>
      <c r="R525" s="157" t="str">
        <f t="shared" si="76"/>
        <v/>
      </c>
    </row>
    <row r="526" spans="1:18" ht="52.8" x14ac:dyDescent="0.25">
      <c r="A526" s="271" t="s">
        <v>20</v>
      </c>
      <c r="B526" s="256" t="s">
        <v>738</v>
      </c>
      <c r="C526" s="271" t="s">
        <v>10</v>
      </c>
      <c r="D526" s="271" t="s">
        <v>739</v>
      </c>
      <c r="E526" s="362" t="s">
        <v>44</v>
      </c>
      <c r="F526" s="362"/>
      <c r="G526" s="255" t="s">
        <v>28</v>
      </c>
      <c r="H526" s="258">
        <v>1</v>
      </c>
      <c r="I526" s="257">
        <f>SUMIF(L:L,$L526,M:M)</f>
        <v>2.4699999999999998</v>
      </c>
      <c r="J526" s="257">
        <f>TRUNC(H526*I526,2)</f>
        <v>2.4700000000000002</v>
      </c>
      <c r="L526" s="145">
        <f t="shared" si="70"/>
        <v>60</v>
      </c>
      <c r="M526" s="156" t="str">
        <f t="shared" si="71"/>
        <v/>
      </c>
      <c r="N526" s="157" t="str">
        <f t="shared" si="72"/>
        <v/>
      </c>
      <c r="O526" s="157" t="str">
        <f t="shared" si="73"/>
        <v/>
      </c>
      <c r="P526" s="158" t="str">
        <f t="shared" si="74"/>
        <v xml:space="preserve"> 93398 </v>
      </c>
      <c r="Q526" s="157">
        <f t="shared" si="75"/>
        <v>0</v>
      </c>
      <c r="R526" s="157">
        <f t="shared" si="76"/>
        <v>2.4699999999999998</v>
      </c>
    </row>
    <row r="527" spans="1:18" ht="25.5" customHeight="1" x14ac:dyDescent="0.25">
      <c r="A527" s="273" t="s">
        <v>31</v>
      </c>
      <c r="B527" s="265" t="s">
        <v>327</v>
      </c>
      <c r="C527" s="273" t="str">
        <f>VLOOKUP(B527,INSUMOS!$A:$I,2,FALSE)</f>
        <v>SINAPI</v>
      </c>
      <c r="D527" s="273" t="str">
        <f>VLOOKUP(B527,INSUMOS!$A:$I,3,FALSE)</f>
        <v>CAMINHAO TOCO, PESO BRUTO TOTAL 16000 KG, CARGA UTIL MAXIMA DE 10685 KG, DISTANCIA ENTRE EIXOS 4,8M, POTENCIA 189 CV (INCLUI CABINE E CHASSI, NAO INCLUI CARROCERIA)</v>
      </c>
      <c r="E527" s="361" t="str">
        <f>VLOOKUP(B527,INSUMOS!$A:$I,4,FALSE)</f>
        <v>Equipamento</v>
      </c>
      <c r="F527" s="361"/>
      <c r="G527" s="264" t="str">
        <f>VLOOKUP(B527,INSUMOS!$A:$I,5,FALSE)</f>
        <v>UN</v>
      </c>
      <c r="H527" s="267">
        <v>7.1999999999999997E-6</v>
      </c>
      <c r="I527" s="266">
        <f>VLOOKUP(B527,INSUMOS!$A:$I,8,FALSE)</f>
        <v>268885.81</v>
      </c>
      <c r="J527" s="266">
        <f>TRUNC(H527*I527,2)</f>
        <v>1.93</v>
      </c>
      <c r="L527" s="145">
        <f t="shared" si="70"/>
        <v>60</v>
      </c>
      <c r="M527" s="156">
        <f t="shared" si="71"/>
        <v>1.93</v>
      </c>
      <c r="N527" s="157" t="str">
        <f t="shared" si="72"/>
        <v/>
      </c>
      <c r="O527" s="157">
        <f t="shared" si="73"/>
        <v>1.93</v>
      </c>
      <c r="P527" s="158" t="str">
        <f t="shared" si="74"/>
        <v/>
      </c>
      <c r="Q527" s="157" t="str">
        <f t="shared" si="75"/>
        <v/>
      </c>
      <c r="R527" s="157" t="str">
        <f t="shared" si="76"/>
        <v/>
      </c>
    </row>
    <row r="528" spans="1:18" ht="52.8" x14ac:dyDescent="0.25">
      <c r="A528" s="273" t="s">
        <v>31</v>
      </c>
      <c r="B528" s="265" t="s">
        <v>504</v>
      </c>
      <c r="C528" s="273" t="str">
        <f>VLOOKUP(B528,INSUMOS!$A:$I,2,FALSE)</f>
        <v>SINAPI</v>
      </c>
      <c r="D528" s="273" t="str">
        <f>VLOOKUP(B528,INSUMOS!$A:$I,3,FALSE)</f>
        <v>GUINDAUTO HIDRAULICO, CAPACIDADE MAXIMA DE CARGA 3300 KG, MOMENTO MAXIMO DE CARGA 5,8 TM , ALCANCE MAXIMO HORIZONTAL  7,60 M, PARA MONTAGEM SOBRE CHASSI DE CAMINHAO PBT MINIMO 8000 KG (INCLUI MONTAGEM, NAO INCLUI CAMINHAO)</v>
      </c>
      <c r="E528" s="361" t="str">
        <f>VLOOKUP(B528,INSUMOS!$A:$I,4,FALSE)</f>
        <v>Equipamento</v>
      </c>
      <c r="F528" s="361"/>
      <c r="G528" s="264" t="str">
        <f>VLOOKUP(B528,INSUMOS!$A:$I,5,FALSE)</f>
        <v>UN</v>
      </c>
      <c r="H528" s="267">
        <v>7.1999999999999997E-6</v>
      </c>
      <c r="I528" s="266">
        <f>VLOOKUP(B528,INSUMOS!$A:$I,8,FALSE)</f>
        <v>75359.37</v>
      </c>
      <c r="J528" s="266">
        <f>TRUNC(H528*I528,2)</f>
        <v>0.54</v>
      </c>
      <c r="L528" s="145">
        <f t="shared" si="70"/>
        <v>60</v>
      </c>
      <c r="M528" s="156">
        <f t="shared" si="71"/>
        <v>0.54</v>
      </c>
      <c r="N528" s="157" t="str">
        <f t="shared" si="72"/>
        <v/>
      </c>
      <c r="O528" s="157">
        <f t="shared" si="73"/>
        <v>0.54</v>
      </c>
      <c r="P528" s="158" t="str">
        <f t="shared" si="74"/>
        <v/>
      </c>
      <c r="Q528" s="157" t="str">
        <f t="shared" si="75"/>
        <v/>
      </c>
      <c r="R528" s="157" t="str">
        <f t="shared" si="76"/>
        <v/>
      </c>
    </row>
    <row r="529" spans="1:18" x14ac:dyDescent="0.25">
      <c r="A529" s="274"/>
      <c r="B529" s="274"/>
      <c r="C529" s="274"/>
      <c r="D529" s="274"/>
      <c r="E529" s="274"/>
      <c r="F529" s="268"/>
      <c r="G529" s="274"/>
      <c r="H529" s="268"/>
      <c r="I529" s="274"/>
      <c r="J529" s="268"/>
      <c r="L529" s="145">
        <f t="shared" ref="L529:L592" si="81">IF(AND(A530&lt;&gt;"",A529=""),L528+1,L528)</f>
        <v>60</v>
      </c>
      <c r="M529" s="156" t="str">
        <f t="shared" ref="M529:M592" si="82">IF(OR(A529="Insumo",A529="Composição Auxiliar"),J529,"")</f>
        <v/>
      </c>
      <c r="N529" s="157" t="str">
        <f t="shared" ref="N529:N592" si="83">IF(E529="Mão de Obra",J529,"")</f>
        <v/>
      </c>
      <c r="O529" s="157" t="str">
        <f t="shared" ref="O529:O592" si="84">IF(N529&lt;&gt;"","",M529)</f>
        <v/>
      </c>
      <c r="P529" s="158" t="str">
        <f t="shared" ref="P529:P592" si="85">IF(A529="Composição",B529,"")</f>
        <v/>
      </c>
      <c r="Q529" s="157" t="str">
        <f t="shared" ref="Q529:Q576" si="86">IF(P529&lt;&gt;"",SUMIF(L529:L629,L529,N529:N629),"")</f>
        <v/>
      </c>
      <c r="R529" s="157" t="str">
        <f t="shared" ref="R529:R576" si="87">IF(P529&lt;&gt;"",SUMIF(L529:L629,L529,O529:O629),"")</f>
        <v/>
      </c>
    </row>
    <row r="530" spans="1:18" ht="25.5" customHeight="1" thickBot="1" x14ac:dyDescent="0.3">
      <c r="A530" s="274"/>
      <c r="B530" s="274"/>
      <c r="C530" s="274"/>
      <c r="D530" s="274"/>
      <c r="E530" s="274"/>
      <c r="F530" s="268"/>
      <c r="G530" s="274"/>
      <c r="H530" s="350"/>
      <c r="I530" s="350"/>
      <c r="J530" s="268"/>
      <c r="L530" s="145">
        <f t="shared" si="81"/>
        <v>60</v>
      </c>
      <c r="M530" s="156" t="str">
        <f t="shared" si="82"/>
        <v/>
      </c>
      <c r="N530" s="157" t="str">
        <f t="shared" si="83"/>
        <v/>
      </c>
      <c r="O530" s="157" t="str">
        <f t="shared" si="84"/>
        <v/>
      </c>
      <c r="P530" s="158" t="str">
        <f t="shared" si="85"/>
        <v/>
      </c>
      <c r="Q530" s="157" t="str">
        <f t="shared" si="86"/>
        <v/>
      </c>
      <c r="R530" s="157" t="str">
        <f t="shared" si="87"/>
        <v/>
      </c>
    </row>
    <row r="531" spans="1:18" ht="14.4" thickTop="1" x14ac:dyDescent="0.25">
      <c r="A531" s="259"/>
      <c r="B531" s="259"/>
      <c r="C531" s="259"/>
      <c r="D531" s="259"/>
      <c r="E531" s="259"/>
      <c r="F531" s="259"/>
      <c r="G531" s="259"/>
      <c r="H531" s="259"/>
      <c r="I531" s="259"/>
      <c r="J531" s="259"/>
      <c r="L531" s="145">
        <f t="shared" si="81"/>
        <v>60</v>
      </c>
      <c r="M531" s="156" t="str">
        <f t="shared" si="82"/>
        <v/>
      </c>
      <c r="N531" s="157" t="str">
        <f t="shared" si="83"/>
        <v/>
      </c>
      <c r="O531" s="157" t="str">
        <f t="shared" si="84"/>
        <v/>
      </c>
      <c r="P531" s="158" t="str">
        <f t="shared" si="85"/>
        <v/>
      </c>
      <c r="Q531" s="157" t="str">
        <f t="shared" si="86"/>
        <v/>
      </c>
      <c r="R531" s="157" t="str">
        <f t="shared" si="87"/>
        <v/>
      </c>
    </row>
    <row r="532" spans="1:18" ht="25.5" customHeight="1" x14ac:dyDescent="0.25">
      <c r="A532" s="270"/>
      <c r="B532" s="254" t="s">
        <v>1</v>
      </c>
      <c r="C532" s="270" t="s">
        <v>2</v>
      </c>
      <c r="D532" s="270" t="s">
        <v>3</v>
      </c>
      <c r="E532" s="347" t="s">
        <v>19</v>
      </c>
      <c r="F532" s="347"/>
      <c r="G532" s="253" t="s">
        <v>4</v>
      </c>
      <c r="H532" s="254" t="s">
        <v>5</v>
      </c>
      <c r="I532" s="254" t="s">
        <v>6</v>
      </c>
      <c r="J532" s="254" t="s">
        <v>7</v>
      </c>
      <c r="L532" s="145">
        <f t="shared" si="81"/>
        <v>61</v>
      </c>
      <c r="M532" s="156" t="str">
        <f t="shared" si="82"/>
        <v/>
      </c>
      <c r="N532" s="157" t="str">
        <f t="shared" si="83"/>
        <v/>
      </c>
      <c r="O532" s="157" t="str">
        <f t="shared" si="84"/>
        <v/>
      </c>
      <c r="P532" s="158" t="str">
        <f t="shared" si="85"/>
        <v/>
      </c>
      <c r="Q532" s="157" t="str">
        <f t="shared" si="86"/>
        <v/>
      </c>
      <c r="R532" s="157" t="str">
        <f t="shared" si="87"/>
        <v/>
      </c>
    </row>
    <row r="533" spans="1:18" ht="15" customHeight="1" x14ac:dyDescent="0.25">
      <c r="A533" s="271" t="s">
        <v>20</v>
      </c>
      <c r="B533" s="256" t="s">
        <v>744</v>
      </c>
      <c r="C533" s="271" t="s">
        <v>10</v>
      </c>
      <c r="D533" s="271" t="s">
        <v>745</v>
      </c>
      <c r="E533" s="362" t="s">
        <v>44</v>
      </c>
      <c r="F533" s="362"/>
      <c r="G533" s="255" t="s">
        <v>28</v>
      </c>
      <c r="H533" s="258">
        <v>1</v>
      </c>
      <c r="I533" s="257">
        <f>SUMIF(L:L,$L533,M:M)</f>
        <v>22.12</v>
      </c>
      <c r="J533" s="257">
        <f>TRUNC(H533*I533,2)</f>
        <v>22.12</v>
      </c>
      <c r="L533" s="145">
        <f t="shared" si="81"/>
        <v>61</v>
      </c>
      <c r="M533" s="156" t="str">
        <f t="shared" si="82"/>
        <v/>
      </c>
      <c r="N533" s="157" t="str">
        <f t="shared" si="83"/>
        <v/>
      </c>
      <c r="O533" s="157" t="str">
        <f t="shared" si="84"/>
        <v/>
      </c>
      <c r="P533" s="158" t="str">
        <f t="shared" si="85"/>
        <v xml:space="preserve"> 93400 </v>
      </c>
      <c r="Q533" s="157">
        <f t="shared" si="86"/>
        <v>0</v>
      </c>
      <c r="R533" s="157">
        <f t="shared" si="87"/>
        <v>22.12</v>
      </c>
    </row>
    <row r="534" spans="1:18" ht="39.6" x14ac:dyDescent="0.25">
      <c r="A534" s="273" t="s">
        <v>31</v>
      </c>
      <c r="B534" s="265" t="s">
        <v>327</v>
      </c>
      <c r="C534" s="273" t="str">
        <f>VLOOKUP(B534,INSUMOS!$A:$I,2,FALSE)</f>
        <v>SINAPI</v>
      </c>
      <c r="D534" s="273" t="str">
        <f>VLOOKUP(B534,INSUMOS!$A:$I,3,FALSE)</f>
        <v>CAMINHAO TOCO, PESO BRUTO TOTAL 16000 KG, CARGA UTIL MAXIMA DE 10685 KG, DISTANCIA ENTRE EIXOS 4,8M, POTENCIA 189 CV (INCLUI CABINE E CHASSI, NAO INCLUI CARROCERIA)</v>
      </c>
      <c r="E534" s="361" t="str">
        <f>VLOOKUP(B534,INSUMOS!$A:$I,4,FALSE)</f>
        <v>Equipamento</v>
      </c>
      <c r="F534" s="361"/>
      <c r="G534" s="264" t="str">
        <f>VLOOKUP(B534,INSUMOS!$A:$I,5,FALSE)</f>
        <v>UN</v>
      </c>
      <c r="H534" s="267">
        <v>6.4300000000000004E-5</v>
      </c>
      <c r="I534" s="266">
        <f>VLOOKUP(B534,INSUMOS!$A:$I,8,FALSE)</f>
        <v>268885.81</v>
      </c>
      <c r="J534" s="266">
        <f>TRUNC(H534*I534,2)</f>
        <v>17.28</v>
      </c>
      <c r="L534" s="145">
        <f t="shared" si="81"/>
        <v>61</v>
      </c>
      <c r="M534" s="156">
        <f t="shared" si="82"/>
        <v>17.28</v>
      </c>
      <c r="N534" s="157" t="str">
        <f t="shared" si="83"/>
        <v/>
      </c>
      <c r="O534" s="157">
        <f t="shared" si="84"/>
        <v>17.28</v>
      </c>
      <c r="P534" s="158" t="str">
        <f t="shared" si="85"/>
        <v/>
      </c>
      <c r="Q534" s="157" t="str">
        <f t="shared" si="86"/>
        <v/>
      </c>
      <c r="R534" s="157" t="str">
        <f t="shared" si="87"/>
        <v/>
      </c>
    </row>
    <row r="535" spans="1:18" ht="15" customHeight="1" x14ac:dyDescent="0.25">
      <c r="A535" s="273" t="s">
        <v>31</v>
      </c>
      <c r="B535" s="265" t="s">
        <v>504</v>
      </c>
      <c r="C535" s="273" t="str">
        <f>VLOOKUP(B535,INSUMOS!$A:$I,2,FALSE)</f>
        <v>SINAPI</v>
      </c>
      <c r="D535" s="273" t="str">
        <f>VLOOKUP(B535,INSUMOS!$A:$I,3,FALSE)</f>
        <v>GUINDAUTO HIDRAULICO, CAPACIDADE MAXIMA DE CARGA 3300 KG, MOMENTO MAXIMO DE CARGA 5,8 TM , ALCANCE MAXIMO HORIZONTAL  7,60 M, PARA MONTAGEM SOBRE CHASSI DE CAMINHAO PBT MINIMO 8000 KG (INCLUI MONTAGEM, NAO INCLUI CAMINHAO)</v>
      </c>
      <c r="E535" s="361" t="str">
        <f>VLOOKUP(B535,INSUMOS!$A:$I,4,FALSE)</f>
        <v>Equipamento</v>
      </c>
      <c r="F535" s="361"/>
      <c r="G535" s="264" t="str">
        <f>VLOOKUP(B535,INSUMOS!$A:$I,5,FALSE)</f>
        <v>UN</v>
      </c>
      <c r="H535" s="267">
        <v>6.4300000000000004E-5</v>
      </c>
      <c r="I535" s="266">
        <f>VLOOKUP(B535,INSUMOS!$A:$I,8,FALSE)</f>
        <v>75359.37</v>
      </c>
      <c r="J535" s="266">
        <f>TRUNC(H535*I535,2)</f>
        <v>4.84</v>
      </c>
      <c r="L535" s="145">
        <f t="shared" si="81"/>
        <v>61</v>
      </c>
      <c r="M535" s="156">
        <f t="shared" si="82"/>
        <v>4.84</v>
      </c>
      <c r="N535" s="157" t="str">
        <f t="shared" si="83"/>
        <v/>
      </c>
      <c r="O535" s="157">
        <f t="shared" si="84"/>
        <v>4.84</v>
      </c>
      <c r="P535" s="158" t="str">
        <f t="shared" si="85"/>
        <v/>
      </c>
      <c r="Q535" s="157" t="str">
        <f t="shared" si="86"/>
        <v/>
      </c>
      <c r="R535" s="157" t="str">
        <f t="shared" si="87"/>
        <v/>
      </c>
    </row>
    <row r="536" spans="1:18" x14ac:dyDescent="0.25">
      <c r="A536" s="274"/>
      <c r="B536" s="274"/>
      <c r="C536" s="274"/>
      <c r="D536" s="274"/>
      <c r="E536" s="274"/>
      <c r="F536" s="268"/>
      <c r="G536" s="274"/>
      <c r="H536" s="268"/>
      <c r="I536" s="274"/>
      <c r="J536" s="268"/>
      <c r="L536" s="145">
        <f t="shared" si="81"/>
        <v>61</v>
      </c>
      <c r="M536" s="156" t="str">
        <f t="shared" si="82"/>
        <v/>
      </c>
      <c r="N536" s="157" t="str">
        <f t="shared" si="83"/>
        <v/>
      </c>
      <c r="O536" s="157" t="str">
        <f t="shared" si="84"/>
        <v/>
      </c>
      <c r="P536" s="158" t="str">
        <f t="shared" si="85"/>
        <v/>
      </c>
      <c r="Q536" s="157" t="str">
        <f t="shared" si="86"/>
        <v/>
      </c>
      <c r="R536" s="157" t="str">
        <f t="shared" si="87"/>
        <v/>
      </c>
    </row>
    <row r="537" spans="1:18" ht="25.5" customHeight="1" thickBot="1" x14ac:dyDescent="0.3">
      <c r="A537" s="274"/>
      <c r="B537" s="274"/>
      <c r="C537" s="274"/>
      <c r="D537" s="274"/>
      <c r="E537" s="274"/>
      <c r="F537" s="268"/>
      <c r="G537" s="274"/>
      <c r="H537" s="350"/>
      <c r="I537" s="350"/>
      <c r="J537" s="268"/>
      <c r="L537" s="145">
        <f t="shared" si="81"/>
        <v>61</v>
      </c>
      <c r="M537" s="156" t="str">
        <f t="shared" si="82"/>
        <v/>
      </c>
      <c r="N537" s="157" t="str">
        <f t="shared" si="83"/>
        <v/>
      </c>
      <c r="O537" s="157" t="str">
        <f t="shared" si="84"/>
        <v/>
      </c>
      <c r="P537" s="158" t="str">
        <f t="shared" si="85"/>
        <v/>
      </c>
      <c r="Q537" s="157" t="str">
        <f t="shared" si="86"/>
        <v/>
      </c>
      <c r="R537" s="157" t="str">
        <f t="shared" si="87"/>
        <v/>
      </c>
    </row>
    <row r="538" spans="1:18" ht="38.25" customHeight="1" thickTop="1" x14ac:dyDescent="0.25">
      <c r="A538" s="259"/>
      <c r="B538" s="259"/>
      <c r="C538" s="259"/>
      <c r="D538" s="259"/>
      <c r="E538" s="259"/>
      <c r="F538" s="259"/>
      <c r="G538" s="259"/>
      <c r="H538" s="259"/>
      <c r="I538" s="259"/>
      <c r="J538" s="259"/>
      <c r="L538" s="145">
        <f t="shared" si="81"/>
        <v>61</v>
      </c>
      <c r="M538" s="156" t="str">
        <f t="shared" si="82"/>
        <v/>
      </c>
      <c r="N538" s="157" t="str">
        <f t="shared" si="83"/>
        <v/>
      </c>
      <c r="O538" s="157" t="str">
        <f t="shared" si="84"/>
        <v/>
      </c>
      <c r="P538" s="158" t="str">
        <f t="shared" si="85"/>
        <v/>
      </c>
      <c r="Q538" s="157" t="str">
        <f t="shared" si="86"/>
        <v/>
      </c>
      <c r="R538" s="157" t="str">
        <f t="shared" si="87"/>
        <v/>
      </c>
    </row>
    <row r="539" spans="1:18" ht="14.25" customHeight="1" x14ac:dyDescent="0.25">
      <c r="A539" s="270"/>
      <c r="B539" s="254" t="s">
        <v>1</v>
      </c>
      <c r="C539" s="270" t="s">
        <v>2</v>
      </c>
      <c r="D539" s="270" t="s">
        <v>3</v>
      </c>
      <c r="E539" s="347" t="s">
        <v>19</v>
      </c>
      <c r="F539" s="347"/>
      <c r="G539" s="253" t="s">
        <v>4</v>
      </c>
      <c r="H539" s="254" t="s">
        <v>5</v>
      </c>
      <c r="I539" s="254" t="s">
        <v>6</v>
      </c>
      <c r="J539" s="254" t="s">
        <v>7</v>
      </c>
      <c r="L539" s="145">
        <f t="shared" si="81"/>
        <v>62</v>
      </c>
      <c r="M539" s="156" t="str">
        <f t="shared" si="82"/>
        <v/>
      </c>
      <c r="N539" s="157" t="str">
        <f t="shared" si="83"/>
        <v/>
      </c>
      <c r="O539" s="157" t="str">
        <f t="shared" si="84"/>
        <v/>
      </c>
      <c r="P539" s="158" t="str">
        <f t="shared" si="85"/>
        <v/>
      </c>
      <c r="Q539" s="157" t="str">
        <f t="shared" si="86"/>
        <v/>
      </c>
      <c r="R539" s="157" t="str">
        <f t="shared" si="87"/>
        <v/>
      </c>
    </row>
    <row r="540" spans="1:18" ht="52.8" x14ac:dyDescent="0.25">
      <c r="A540" s="271" t="s">
        <v>20</v>
      </c>
      <c r="B540" s="256" t="s">
        <v>742</v>
      </c>
      <c r="C540" s="271" t="s">
        <v>10</v>
      </c>
      <c r="D540" s="271" t="s">
        <v>743</v>
      </c>
      <c r="E540" s="362" t="s">
        <v>44</v>
      </c>
      <c r="F540" s="362"/>
      <c r="G540" s="255" t="s">
        <v>28</v>
      </c>
      <c r="H540" s="258">
        <v>1</v>
      </c>
      <c r="I540" s="257">
        <f>SUMIF(L:L,$L540,M:M)</f>
        <v>120.52</v>
      </c>
      <c r="J540" s="257">
        <f>TRUNC(H540*I540,2)</f>
        <v>120.52</v>
      </c>
      <c r="L540" s="145">
        <f t="shared" si="81"/>
        <v>62</v>
      </c>
      <c r="M540" s="156" t="str">
        <f t="shared" si="82"/>
        <v/>
      </c>
      <c r="N540" s="157" t="str">
        <f t="shared" si="83"/>
        <v/>
      </c>
      <c r="O540" s="157" t="str">
        <f t="shared" si="84"/>
        <v/>
      </c>
      <c r="P540" s="158" t="str">
        <f t="shared" si="85"/>
        <v xml:space="preserve"> 93401 </v>
      </c>
      <c r="Q540" s="157">
        <f t="shared" si="86"/>
        <v>0</v>
      </c>
      <c r="R540" s="157">
        <f t="shared" si="87"/>
        <v>120.52</v>
      </c>
    </row>
    <row r="541" spans="1:18" x14ac:dyDescent="0.25">
      <c r="A541" s="273" t="s">
        <v>31</v>
      </c>
      <c r="B541" s="265" t="s">
        <v>283</v>
      </c>
      <c r="C541" s="273" t="str">
        <f>VLOOKUP(B541,INSUMOS!$A:$I,2,FALSE)</f>
        <v>SINAPI</v>
      </c>
      <c r="D541" s="273" t="str">
        <f>VLOOKUP(B541,INSUMOS!$A:$I,3,FALSE)</f>
        <v>OLEO DIESEL COMBUSTIVEL COMUM</v>
      </c>
      <c r="E541" s="361" t="str">
        <f>VLOOKUP(B541,INSUMOS!$A:$I,4,FALSE)</f>
        <v>Material</v>
      </c>
      <c r="F541" s="361"/>
      <c r="G541" s="264" t="str">
        <f>VLOOKUP(B541,INSUMOS!$A:$I,5,FALSE)</f>
        <v>L</v>
      </c>
      <c r="H541" s="267">
        <v>26.43</v>
      </c>
      <c r="I541" s="266">
        <f>VLOOKUP(B541,INSUMOS!$A:$I,8,FALSE)</f>
        <v>4.5599999999999996</v>
      </c>
      <c r="J541" s="266">
        <f>TRUNC(H541*I541,2)</f>
        <v>120.52</v>
      </c>
      <c r="L541" s="145">
        <f t="shared" si="81"/>
        <v>62</v>
      </c>
      <c r="M541" s="156">
        <f t="shared" si="82"/>
        <v>120.52</v>
      </c>
      <c r="N541" s="157" t="str">
        <f t="shared" si="83"/>
        <v/>
      </c>
      <c r="O541" s="157">
        <f t="shared" si="84"/>
        <v>120.52</v>
      </c>
      <c r="P541" s="158" t="str">
        <f t="shared" si="85"/>
        <v/>
      </c>
      <c r="Q541" s="157" t="str">
        <f t="shared" si="86"/>
        <v/>
      </c>
      <c r="R541" s="157" t="str">
        <f t="shared" si="87"/>
        <v/>
      </c>
    </row>
    <row r="542" spans="1:18" x14ac:dyDescent="0.25">
      <c r="A542" s="274"/>
      <c r="B542" s="274"/>
      <c r="C542" s="274"/>
      <c r="D542" s="274"/>
      <c r="E542" s="274"/>
      <c r="F542" s="268"/>
      <c r="G542" s="274"/>
      <c r="H542" s="268"/>
      <c r="I542" s="274"/>
      <c r="J542" s="268"/>
      <c r="L542" s="145">
        <f t="shared" si="81"/>
        <v>62</v>
      </c>
      <c r="M542" s="156" t="str">
        <f t="shared" si="82"/>
        <v/>
      </c>
      <c r="N542" s="157" t="str">
        <f t="shared" si="83"/>
        <v/>
      </c>
      <c r="O542" s="157" t="str">
        <f t="shared" si="84"/>
        <v/>
      </c>
      <c r="P542" s="158" t="str">
        <f t="shared" si="85"/>
        <v/>
      </c>
      <c r="Q542" s="157" t="str">
        <f t="shared" si="86"/>
        <v/>
      </c>
      <c r="R542" s="157" t="str">
        <f t="shared" si="87"/>
        <v/>
      </c>
    </row>
    <row r="543" spans="1:18" ht="15" customHeight="1" thickBot="1" x14ac:dyDescent="0.3">
      <c r="A543" s="274"/>
      <c r="B543" s="274"/>
      <c r="C543" s="274"/>
      <c r="D543" s="274"/>
      <c r="E543" s="274"/>
      <c r="F543" s="268"/>
      <c r="G543" s="274"/>
      <c r="H543" s="350"/>
      <c r="I543" s="350"/>
      <c r="J543" s="268"/>
      <c r="L543" s="145">
        <f t="shared" si="81"/>
        <v>62</v>
      </c>
      <c r="M543" s="156" t="str">
        <f t="shared" si="82"/>
        <v/>
      </c>
      <c r="N543" s="157" t="str">
        <f t="shared" si="83"/>
        <v/>
      </c>
      <c r="O543" s="157" t="str">
        <f t="shared" si="84"/>
        <v/>
      </c>
      <c r="P543" s="158" t="str">
        <f t="shared" si="85"/>
        <v/>
      </c>
      <c r="Q543" s="157" t="str">
        <f t="shared" si="86"/>
        <v/>
      </c>
      <c r="R543" s="157" t="str">
        <f t="shared" si="87"/>
        <v/>
      </c>
    </row>
    <row r="544" spans="1:18" ht="15" customHeight="1" thickTop="1" x14ac:dyDescent="0.25">
      <c r="A544" s="259"/>
      <c r="B544" s="259"/>
      <c r="C544" s="259"/>
      <c r="D544" s="259"/>
      <c r="E544" s="259"/>
      <c r="F544" s="259"/>
      <c r="G544" s="259"/>
      <c r="H544" s="259"/>
      <c r="I544" s="259"/>
      <c r="J544" s="259"/>
      <c r="L544" s="145">
        <f t="shared" si="81"/>
        <v>62</v>
      </c>
      <c r="M544" s="156" t="str">
        <f t="shared" si="82"/>
        <v/>
      </c>
      <c r="N544" s="157" t="str">
        <f t="shared" si="83"/>
        <v/>
      </c>
      <c r="O544" s="157" t="str">
        <f t="shared" si="84"/>
        <v/>
      </c>
      <c r="P544" s="158" t="str">
        <f t="shared" si="85"/>
        <v/>
      </c>
      <c r="Q544" s="157" t="str">
        <f t="shared" si="86"/>
        <v/>
      </c>
      <c r="R544" s="157" t="str">
        <f t="shared" si="87"/>
        <v/>
      </c>
    </row>
    <row r="545" spans="1:18" x14ac:dyDescent="0.25">
      <c r="A545" s="270"/>
      <c r="B545" s="254" t="s">
        <v>1</v>
      </c>
      <c r="C545" s="270" t="s">
        <v>2</v>
      </c>
      <c r="D545" s="270" t="s">
        <v>3</v>
      </c>
      <c r="E545" s="347" t="s">
        <v>19</v>
      </c>
      <c r="F545" s="347"/>
      <c r="G545" s="253" t="s">
        <v>4</v>
      </c>
      <c r="H545" s="254" t="s">
        <v>5</v>
      </c>
      <c r="I545" s="254" t="s">
        <v>6</v>
      </c>
      <c r="J545" s="254" t="s">
        <v>7</v>
      </c>
      <c r="L545" s="145">
        <f t="shared" si="81"/>
        <v>63</v>
      </c>
      <c r="M545" s="156" t="str">
        <f t="shared" si="82"/>
        <v/>
      </c>
      <c r="N545" s="157" t="str">
        <f t="shared" si="83"/>
        <v/>
      </c>
      <c r="O545" s="157" t="str">
        <f t="shared" si="84"/>
        <v/>
      </c>
      <c r="P545" s="158" t="str">
        <f t="shared" si="85"/>
        <v/>
      </c>
      <c r="Q545" s="157" t="str">
        <f t="shared" si="86"/>
        <v/>
      </c>
      <c r="R545" s="157" t="str">
        <f t="shared" si="87"/>
        <v/>
      </c>
    </row>
    <row r="546" spans="1:18" ht="14.25" customHeight="1" x14ac:dyDescent="0.25">
      <c r="A546" s="271" t="s">
        <v>20</v>
      </c>
      <c r="B546" s="256" t="s">
        <v>736</v>
      </c>
      <c r="C546" s="271" t="s">
        <v>10</v>
      </c>
      <c r="D546" s="271" t="s">
        <v>737</v>
      </c>
      <c r="E546" s="362" t="s">
        <v>44</v>
      </c>
      <c r="F546" s="362"/>
      <c r="G546" s="255" t="s">
        <v>28</v>
      </c>
      <c r="H546" s="258">
        <v>1</v>
      </c>
      <c r="I546" s="257">
        <f>SUMIF(L:L,$L546,M:M)</f>
        <v>0.96</v>
      </c>
      <c r="J546" s="257">
        <f>TRUNC(H546*I546,2)</f>
        <v>0.96</v>
      </c>
      <c r="L546" s="145">
        <f t="shared" si="81"/>
        <v>63</v>
      </c>
      <c r="M546" s="156" t="str">
        <f t="shared" si="82"/>
        <v/>
      </c>
      <c r="N546" s="157" t="str">
        <f t="shared" si="83"/>
        <v/>
      </c>
      <c r="O546" s="157" t="str">
        <f t="shared" si="84"/>
        <v/>
      </c>
      <c r="P546" s="158" t="str">
        <f t="shared" si="85"/>
        <v xml:space="preserve"> 93399 </v>
      </c>
      <c r="Q546" s="157">
        <f t="shared" si="86"/>
        <v>0</v>
      </c>
      <c r="R546" s="157">
        <f t="shared" si="87"/>
        <v>0.96</v>
      </c>
    </row>
    <row r="547" spans="1:18" ht="38.25" customHeight="1" x14ac:dyDescent="0.25">
      <c r="A547" s="273" t="s">
        <v>31</v>
      </c>
      <c r="B547" s="265" t="s">
        <v>327</v>
      </c>
      <c r="C547" s="273" t="str">
        <f>VLOOKUP(B547,INSUMOS!$A:$I,2,FALSE)</f>
        <v>SINAPI</v>
      </c>
      <c r="D547" s="273" t="str">
        <f>VLOOKUP(B547,INSUMOS!$A:$I,3,FALSE)</f>
        <v>CAMINHAO TOCO, PESO BRUTO TOTAL 16000 KG, CARGA UTIL MAXIMA DE 10685 KG, DISTANCIA ENTRE EIXOS 4,8M, POTENCIA 189 CV (INCLUI CABINE E CHASSI, NAO INCLUI CARROCERIA)</v>
      </c>
      <c r="E547" s="361" t="str">
        <f>VLOOKUP(B547,INSUMOS!$A:$I,4,FALSE)</f>
        <v>Equipamento</v>
      </c>
      <c r="F547" s="361"/>
      <c r="G547" s="264" t="str">
        <f>VLOOKUP(B547,INSUMOS!$A:$I,5,FALSE)</f>
        <v>UN</v>
      </c>
      <c r="H547" s="267">
        <v>2.7999999999999999E-6</v>
      </c>
      <c r="I547" s="266">
        <f>VLOOKUP(B547,INSUMOS!$A:$I,8,FALSE)</f>
        <v>268885.81</v>
      </c>
      <c r="J547" s="266">
        <f>TRUNC(H547*I547,2)</f>
        <v>0.75</v>
      </c>
      <c r="L547" s="145">
        <f t="shared" si="81"/>
        <v>63</v>
      </c>
      <c r="M547" s="156">
        <f t="shared" si="82"/>
        <v>0.75</v>
      </c>
      <c r="N547" s="157" t="str">
        <f t="shared" si="83"/>
        <v/>
      </c>
      <c r="O547" s="157">
        <f t="shared" si="84"/>
        <v>0.75</v>
      </c>
      <c r="P547" s="158" t="str">
        <f t="shared" si="85"/>
        <v/>
      </c>
      <c r="Q547" s="157" t="str">
        <f t="shared" si="86"/>
        <v/>
      </c>
      <c r="R547" s="157" t="str">
        <f t="shared" si="87"/>
        <v/>
      </c>
    </row>
    <row r="548" spans="1:18" ht="52.8" x14ac:dyDescent="0.25">
      <c r="A548" s="273" t="s">
        <v>31</v>
      </c>
      <c r="B548" s="265" t="s">
        <v>504</v>
      </c>
      <c r="C548" s="273" t="str">
        <f>VLOOKUP(B548,INSUMOS!$A:$I,2,FALSE)</f>
        <v>SINAPI</v>
      </c>
      <c r="D548" s="273" t="str">
        <f>VLOOKUP(B548,INSUMOS!$A:$I,3,FALSE)</f>
        <v>GUINDAUTO HIDRAULICO, CAPACIDADE MAXIMA DE CARGA 3300 KG, MOMENTO MAXIMO DE CARGA 5,8 TM , ALCANCE MAXIMO HORIZONTAL  7,60 M, PARA MONTAGEM SOBRE CHASSI DE CAMINHAO PBT MINIMO 8000 KG (INCLUI MONTAGEM, NAO INCLUI CAMINHAO)</v>
      </c>
      <c r="E548" s="361" t="str">
        <f>VLOOKUP(B548,INSUMOS!$A:$I,4,FALSE)</f>
        <v>Equipamento</v>
      </c>
      <c r="F548" s="361"/>
      <c r="G548" s="264" t="str">
        <f>VLOOKUP(B548,INSUMOS!$A:$I,5,FALSE)</f>
        <v>UN</v>
      </c>
      <c r="H548" s="267">
        <v>2.7999999999999999E-6</v>
      </c>
      <c r="I548" s="266">
        <f>VLOOKUP(B548,INSUMOS!$A:$I,8,FALSE)</f>
        <v>75359.37</v>
      </c>
      <c r="J548" s="266">
        <f>TRUNC(H548*I548,2)</f>
        <v>0.21</v>
      </c>
      <c r="L548" s="145">
        <f t="shared" si="81"/>
        <v>63</v>
      </c>
      <c r="M548" s="156">
        <f t="shared" si="82"/>
        <v>0.21</v>
      </c>
      <c r="N548" s="157" t="str">
        <f t="shared" si="83"/>
        <v/>
      </c>
      <c r="O548" s="157">
        <f t="shared" si="84"/>
        <v>0.21</v>
      </c>
      <c r="P548" s="158" t="str">
        <f t="shared" si="85"/>
        <v/>
      </c>
      <c r="Q548" s="157" t="str">
        <f t="shared" si="86"/>
        <v/>
      </c>
      <c r="R548" s="157" t="str">
        <f t="shared" si="87"/>
        <v/>
      </c>
    </row>
    <row r="549" spans="1:18" x14ac:dyDescent="0.25">
      <c r="A549" s="274"/>
      <c r="B549" s="274"/>
      <c r="C549" s="274"/>
      <c r="D549" s="274"/>
      <c r="E549" s="274"/>
      <c r="F549" s="268"/>
      <c r="G549" s="274"/>
      <c r="H549" s="268"/>
      <c r="I549" s="274"/>
      <c r="J549" s="268"/>
      <c r="L549" s="145">
        <f t="shared" si="81"/>
        <v>63</v>
      </c>
      <c r="M549" s="156" t="str">
        <f t="shared" si="82"/>
        <v/>
      </c>
      <c r="N549" s="157" t="str">
        <f t="shared" si="83"/>
        <v/>
      </c>
      <c r="O549" s="157" t="str">
        <f t="shared" si="84"/>
        <v/>
      </c>
      <c r="P549" s="158" t="str">
        <f t="shared" si="85"/>
        <v/>
      </c>
      <c r="Q549" s="157" t="str">
        <f t="shared" si="86"/>
        <v/>
      </c>
      <c r="R549" s="157" t="str">
        <f t="shared" si="87"/>
        <v/>
      </c>
    </row>
    <row r="550" spans="1:18" ht="14.4" thickBot="1" x14ac:dyDescent="0.3">
      <c r="A550" s="274"/>
      <c r="B550" s="274"/>
      <c r="C550" s="274"/>
      <c r="D550" s="274"/>
      <c r="E550" s="274"/>
      <c r="F550" s="268"/>
      <c r="G550" s="274"/>
      <c r="H550" s="350"/>
      <c r="I550" s="350"/>
      <c r="J550" s="268"/>
      <c r="L550" s="145">
        <f t="shared" si="81"/>
        <v>63</v>
      </c>
      <c r="M550" s="156" t="str">
        <f t="shared" si="82"/>
        <v/>
      </c>
      <c r="N550" s="157" t="str">
        <f t="shared" si="83"/>
        <v/>
      </c>
      <c r="O550" s="157" t="str">
        <f t="shared" si="84"/>
        <v/>
      </c>
      <c r="P550" s="158" t="str">
        <f t="shared" si="85"/>
        <v/>
      </c>
      <c r="Q550" s="157" t="str">
        <f t="shared" si="86"/>
        <v/>
      </c>
      <c r="R550" s="157" t="str">
        <f t="shared" si="87"/>
        <v/>
      </c>
    </row>
    <row r="551" spans="1:18" ht="14.4" thickTop="1" x14ac:dyDescent="0.25">
      <c r="A551" s="259"/>
      <c r="B551" s="259"/>
      <c r="C551" s="259"/>
      <c r="D551" s="259"/>
      <c r="E551" s="259"/>
      <c r="F551" s="259"/>
      <c r="G551" s="259"/>
      <c r="H551" s="259"/>
      <c r="I551" s="259"/>
      <c r="J551" s="259"/>
      <c r="L551" s="145">
        <f t="shared" si="81"/>
        <v>63</v>
      </c>
      <c r="M551" s="156" t="str">
        <f t="shared" si="82"/>
        <v/>
      </c>
      <c r="N551" s="157" t="str">
        <f t="shared" si="83"/>
        <v/>
      </c>
      <c r="O551" s="157" t="str">
        <f t="shared" si="84"/>
        <v/>
      </c>
      <c r="P551" s="158" t="str">
        <f t="shared" si="85"/>
        <v/>
      </c>
      <c r="Q551" s="157" t="str">
        <f t="shared" si="86"/>
        <v/>
      </c>
      <c r="R551" s="157" t="str">
        <f t="shared" si="87"/>
        <v/>
      </c>
    </row>
    <row r="552" spans="1:18" ht="14.25" customHeight="1" x14ac:dyDescent="0.25">
      <c r="A552" s="270"/>
      <c r="B552" s="254" t="s">
        <v>1</v>
      </c>
      <c r="C552" s="270" t="s">
        <v>2</v>
      </c>
      <c r="D552" s="270" t="s">
        <v>3</v>
      </c>
      <c r="E552" s="347" t="s">
        <v>19</v>
      </c>
      <c r="F552" s="347"/>
      <c r="G552" s="253" t="s">
        <v>4</v>
      </c>
      <c r="H552" s="254" t="s">
        <v>5</v>
      </c>
      <c r="I552" s="254" t="s">
        <v>6</v>
      </c>
      <c r="J552" s="254" t="s">
        <v>7</v>
      </c>
      <c r="L552" s="145">
        <f t="shared" si="81"/>
        <v>64</v>
      </c>
      <c r="M552" s="156" t="str">
        <f t="shared" si="82"/>
        <v/>
      </c>
      <c r="N552" s="157" t="str">
        <f t="shared" si="83"/>
        <v/>
      </c>
      <c r="O552" s="157" t="str">
        <f t="shared" si="84"/>
        <v/>
      </c>
      <c r="P552" s="158" t="str">
        <f t="shared" si="85"/>
        <v/>
      </c>
      <c r="Q552" s="157" t="str">
        <f t="shared" si="86"/>
        <v/>
      </c>
      <c r="R552" s="157" t="str">
        <f t="shared" si="87"/>
        <v/>
      </c>
    </row>
    <row r="553" spans="1:18" ht="26.4" x14ac:dyDescent="0.25">
      <c r="A553" s="271" t="s">
        <v>20</v>
      </c>
      <c r="B553" s="256" t="s">
        <v>645</v>
      </c>
      <c r="C553" s="271" t="s">
        <v>10</v>
      </c>
      <c r="D553" s="271" t="s">
        <v>646</v>
      </c>
      <c r="E553" s="362" t="s">
        <v>44</v>
      </c>
      <c r="F553" s="362"/>
      <c r="G553" s="255" t="s">
        <v>46</v>
      </c>
      <c r="H553" s="258">
        <v>1</v>
      </c>
      <c r="I553" s="257">
        <f>SUMIF(L:L,$L553,M:M)</f>
        <v>20.440000000000001</v>
      </c>
      <c r="J553" s="257">
        <f>TRUNC(H553*I553,2)</f>
        <v>20.440000000000001</v>
      </c>
      <c r="L553" s="145">
        <f t="shared" si="81"/>
        <v>64</v>
      </c>
      <c r="M553" s="156" t="str">
        <f t="shared" si="82"/>
        <v/>
      </c>
      <c r="N553" s="157" t="str">
        <f t="shared" si="83"/>
        <v/>
      </c>
      <c r="O553" s="157" t="str">
        <f t="shared" si="84"/>
        <v/>
      </c>
      <c r="P553" s="158" t="str">
        <f t="shared" si="85"/>
        <v xml:space="preserve"> 5952 </v>
      </c>
      <c r="Q553" s="157">
        <f t="shared" si="86"/>
        <v>0</v>
      </c>
      <c r="R553" s="157">
        <f t="shared" si="87"/>
        <v>20.440000000000001</v>
      </c>
    </row>
    <row r="554" spans="1:18" ht="15" customHeight="1" x14ac:dyDescent="0.25">
      <c r="A554" s="272" t="s">
        <v>22</v>
      </c>
      <c r="B554" s="261" t="s">
        <v>746</v>
      </c>
      <c r="C554" s="272" t="s">
        <v>10</v>
      </c>
      <c r="D554" s="272" t="s">
        <v>747</v>
      </c>
      <c r="E554" s="363" t="s">
        <v>44</v>
      </c>
      <c r="F554" s="363"/>
      <c r="G554" s="260" t="s">
        <v>28</v>
      </c>
      <c r="H554" s="263">
        <v>1</v>
      </c>
      <c r="I554" s="262">
        <f>SUMIFS(J:J,A:A,"Composição",B:B,$B554)</f>
        <v>1.31</v>
      </c>
      <c r="J554" s="262">
        <f>TRUNC(H554*I554,2)</f>
        <v>1.31</v>
      </c>
      <c r="L554" s="145">
        <f t="shared" si="81"/>
        <v>64</v>
      </c>
      <c r="M554" s="156">
        <f t="shared" si="82"/>
        <v>1.31</v>
      </c>
      <c r="N554" s="157" t="str">
        <f t="shared" si="83"/>
        <v/>
      </c>
      <c r="O554" s="157">
        <f t="shared" si="84"/>
        <v>1.31</v>
      </c>
      <c r="P554" s="158" t="str">
        <f t="shared" si="85"/>
        <v/>
      </c>
      <c r="Q554" s="157" t="str">
        <f t="shared" si="86"/>
        <v/>
      </c>
      <c r="R554" s="157" t="str">
        <f t="shared" si="87"/>
        <v/>
      </c>
    </row>
    <row r="555" spans="1:18" ht="26.4" x14ac:dyDescent="0.25">
      <c r="A555" s="272" t="s">
        <v>22</v>
      </c>
      <c r="B555" s="261" t="s">
        <v>748</v>
      </c>
      <c r="C555" s="272" t="s">
        <v>10</v>
      </c>
      <c r="D555" s="272" t="s">
        <v>749</v>
      </c>
      <c r="E555" s="363" t="s">
        <v>44</v>
      </c>
      <c r="F555" s="363"/>
      <c r="G555" s="260" t="s">
        <v>28</v>
      </c>
      <c r="H555" s="263">
        <v>1</v>
      </c>
      <c r="I555" s="262">
        <f>SUMIFS(J:J,A:A,"Composição",B:B,$B555)</f>
        <v>0.15</v>
      </c>
      <c r="J555" s="262">
        <f>TRUNC(H555*I555,2)</f>
        <v>0.15</v>
      </c>
      <c r="L555" s="145">
        <f t="shared" si="81"/>
        <v>64</v>
      </c>
      <c r="M555" s="156">
        <f t="shared" si="82"/>
        <v>0.15</v>
      </c>
      <c r="N555" s="157" t="str">
        <f t="shared" si="83"/>
        <v/>
      </c>
      <c r="O555" s="157">
        <f t="shared" si="84"/>
        <v>0.15</v>
      </c>
      <c r="P555" s="158" t="str">
        <f t="shared" si="85"/>
        <v/>
      </c>
      <c r="Q555" s="157" t="str">
        <f t="shared" si="86"/>
        <v/>
      </c>
      <c r="R555" s="157" t="str">
        <f t="shared" si="87"/>
        <v/>
      </c>
    </row>
    <row r="556" spans="1:18" ht="15" customHeight="1" x14ac:dyDescent="0.25">
      <c r="A556" s="272" t="s">
        <v>22</v>
      </c>
      <c r="B556" s="261" t="s">
        <v>750</v>
      </c>
      <c r="C556" s="272" t="s">
        <v>10</v>
      </c>
      <c r="D556" s="272" t="s">
        <v>751</v>
      </c>
      <c r="E556" s="363" t="s">
        <v>27</v>
      </c>
      <c r="F556" s="363"/>
      <c r="G556" s="260" t="s">
        <v>28</v>
      </c>
      <c r="H556" s="263">
        <v>1</v>
      </c>
      <c r="I556" s="262">
        <f>SUMIFS(J:J,A:A,"Composição",B:B,$B556)</f>
        <v>18.98</v>
      </c>
      <c r="J556" s="262">
        <f>TRUNC(H556*I556,2)</f>
        <v>18.98</v>
      </c>
      <c r="L556" s="145">
        <f t="shared" si="81"/>
        <v>64</v>
      </c>
      <c r="M556" s="156">
        <f t="shared" si="82"/>
        <v>18.98</v>
      </c>
      <c r="N556" s="157" t="str">
        <f t="shared" si="83"/>
        <v/>
      </c>
      <c r="O556" s="157">
        <f t="shared" si="84"/>
        <v>18.98</v>
      </c>
      <c r="P556" s="158" t="str">
        <f t="shared" si="85"/>
        <v/>
      </c>
      <c r="Q556" s="157" t="str">
        <f t="shared" si="86"/>
        <v/>
      </c>
      <c r="R556" s="157" t="str">
        <f t="shared" si="87"/>
        <v/>
      </c>
    </row>
    <row r="557" spans="1:18" x14ac:dyDescent="0.25">
      <c r="A557" s="274"/>
      <c r="B557" s="274"/>
      <c r="C557" s="274"/>
      <c r="D557" s="274"/>
      <c r="E557" s="274"/>
      <c r="F557" s="268"/>
      <c r="G557" s="274"/>
      <c r="H557" s="268"/>
      <c r="I557" s="274"/>
      <c r="J557" s="268"/>
      <c r="L557" s="145">
        <f t="shared" si="81"/>
        <v>64</v>
      </c>
      <c r="M557" s="156" t="str">
        <f t="shared" si="82"/>
        <v/>
      </c>
      <c r="N557" s="157" t="str">
        <f t="shared" si="83"/>
        <v/>
      </c>
      <c r="O557" s="157" t="str">
        <f t="shared" si="84"/>
        <v/>
      </c>
      <c r="P557" s="158" t="str">
        <f t="shared" si="85"/>
        <v/>
      </c>
      <c r="Q557" s="157" t="str">
        <f t="shared" si="86"/>
        <v/>
      </c>
      <c r="R557" s="157" t="str">
        <f t="shared" si="87"/>
        <v/>
      </c>
    </row>
    <row r="558" spans="1:18" ht="14.4" thickBot="1" x14ac:dyDescent="0.3">
      <c r="A558" s="274"/>
      <c r="B558" s="274"/>
      <c r="C558" s="274"/>
      <c r="D558" s="274"/>
      <c r="E558" s="274"/>
      <c r="F558" s="268"/>
      <c r="G558" s="274"/>
      <c r="H558" s="350"/>
      <c r="I558" s="350"/>
      <c r="J558" s="268"/>
      <c r="L558" s="145">
        <f t="shared" si="81"/>
        <v>64</v>
      </c>
      <c r="M558" s="156" t="str">
        <f t="shared" si="82"/>
        <v/>
      </c>
      <c r="N558" s="157" t="str">
        <f t="shared" si="83"/>
        <v/>
      </c>
      <c r="O558" s="157" t="str">
        <f t="shared" si="84"/>
        <v/>
      </c>
      <c r="P558" s="158" t="str">
        <f t="shared" si="85"/>
        <v/>
      </c>
      <c r="Q558" s="157" t="str">
        <f t="shared" si="86"/>
        <v/>
      </c>
      <c r="R558" s="157" t="str">
        <f t="shared" si="87"/>
        <v/>
      </c>
    </row>
    <row r="559" spans="1:18" ht="14.4" thickTop="1" x14ac:dyDescent="0.25">
      <c r="A559" s="259"/>
      <c r="B559" s="259"/>
      <c r="C559" s="259"/>
      <c r="D559" s="259"/>
      <c r="E559" s="259"/>
      <c r="F559" s="259"/>
      <c r="G559" s="259"/>
      <c r="H559" s="259"/>
      <c r="I559" s="259"/>
      <c r="J559" s="259"/>
      <c r="L559" s="145">
        <f t="shared" si="81"/>
        <v>64</v>
      </c>
      <c r="M559" s="156" t="str">
        <f t="shared" si="82"/>
        <v/>
      </c>
      <c r="N559" s="157" t="str">
        <f t="shared" si="83"/>
        <v/>
      </c>
      <c r="O559" s="157" t="str">
        <f t="shared" si="84"/>
        <v/>
      </c>
      <c r="P559" s="158" t="str">
        <f t="shared" si="85"/>
        <v/>
      </c>
      <c r="Q559" s="157" t="str">
        <f t="shared" si="86"/>
        <v/>
      </c>
      <c r="R559" s="157" t="str">
        <f t="shared" si="87"/>
        <v/>
      </c>
    </row>
    <row r="560" spans="1:18" x14ac:dyDescent="0.25">
      <c r="A560" s="270"/>
      <c r="B560" s="254" t="s">
        <v>1</v>
      </c>
      <c r="C560" s="270" t="s">
        <v>2</v>
      </c>
      <c r="D560" s="270" t="s">
        <v>3</v>
      </c>
      <c r="E560" s="347" t="s">
        <v>19</v>
      </c>
      <c r="F560" s="347"/>
      <c r="G560" s="253" t="s">
        <v>4</v>
      </c>
      <c r="H560" s="254" t="s">
        <v>5</v>
      </c>
      <c r="I560" s="254" t="s">
        <v>6</v>
      </c>
      <c r="J560" s="254" t="s">
        <v>7</v>
      </c>
      <c r="L560" s="145">
        <f t="shared" si="81"/>
        <v>65</v>
      </c>
      <c r="M560" s="156" t="str">
        <f t="shared" si="82"/>
        <v/>
      </c>
      <c r="N560" s="157" t="str">
        <f t="shared" si="83"/>
        <v/>
      </c>
      <c r="O560" s="157" t="str">
        <f t="shared" si="84"/>
        <v/>
      </c>
      <c r="P560" s="158" t="str">
        <f t="shared" si="85"/>
        <v/>
      </c>
      <c r="Q560" s="157" t="str">
        <f t="shared" si="86"/>
        <v/>
      </c>
      <c r="R560" s="157" t="str">
        <f t="shared" si="87"/>
        <v/>
      </c>
    </row>
    <row r="561" spans="1:18" ht="26.4" x14ac:dyDescent="0.25">
      <c r="A561" s="271" t="s">
        <v>20</v>
      </c>
      <c r="B561" s="256" t="s">
        <v>643</v>
      </c>
      <c r="C561" s="271" t="s">
        <v>10</v>
      </c>
      <c r="D561" s="271" t="s">
        <v>644</v>
      </c>
      <c r="E561" s="362" t="s">
        <v>44</v>
      </c>
      <c r="F561" s="362"/>
      <c r="G561" s="255" t="s">
        <v>45</v>
      </c>
      <c r="H561" s="258">
        <v>1</v>
      </c>
      <c r="I561" s="257">
        <f>SUMIF(L:L,$L561,M:M)</f>
        <v>22.07</v>
      </c>
      <c r="J561" s="257">
        <f>TRUNC(H561*I561,2)</f>
        <v>22.07</v>
      </c>
      <c r="L561" s="145">
        <f t="shared" si="81"/>
        <v>65</v>
      </c>
      <c r="M561" s="156" t="str">
        <f t="shared" si="82"/>
        <v/>
      </c>
      <c r="N561" s="157" t="str">
        <f t="shared" si="83"/>
        <v/>
      </c>
      <c r="O561" s="157" t="str">
        <f t="shared" si="84"/>
        <v/>
      </c>
      <c r="P561" s="158" t="str">
        <f t="shared" si="85"/>
        <v xml:space="preserve"> 5795 </v>
      </c>
      <c r="Q561" s="157">
        <f t="shared" si="86"/>
        <v>0</v>
      </c>
      <c r="R561" s="157">
        <f t="shared" si="87"/>
        <v>22.07</v>
      </c>
    </row>
    <row r="562" spans="1:18" ht="15" customHeight="1" x14ac:dyDescent="0.25">
      <c r="A562" s="272" t="s">
        <v>22</v>
      </c>
      <c r="B562" s="261" t="s">
        <v>752</v>
      </c>
      <c r="C562" s="272" t="s">
        <v>10</v>
      </c>
      <c r="D562" s="272" t="s">
        <v>753</v>
      </c>
      <c r="E562" s="363" t="s">
        <v>44</v>
      </c>
      <c r="F562" s="363"/>
      <c r="G562" s="260" t="s">
        <v>28</v>
      </c>
      <c r="H562" s="263">
        <v>1</v>
      </c>
      <c r="I562" s="262">
        <f>SUMIFS(J:J,A:A,"Composição",B:B,$B562)</f>
        <v>1.63</v>
      </c>
      <c r="J562" s="262">
        <f>TRUNC(H562*I562,2)</f>
        <v>1.63</v>
      </c>
      <c r="L562" s="145">
        <f t="shared" si="81"/>
        <v>65</v>
      </c>
      <c r="M562" s="156">
        <f t="shared" si="82"/>
        <v>1.63</v>
      </c>
      <c r="N562" s="157" t="str">
        <f t="shared" si="83"/>
        <v/>
      </c>
      <c r="O562" s="157">
        <f t="shared" si="84"/>
        <v>1.63</v>
      </c>
      <c r="P562" s="158" t="str">
        <f t="shared" si="85"/>
        <v/>
      </c>
      <c r="Q562" s="157" t="str">
        <f t="shared" si="86"/>
        <v/>
      </c>
      <c r="R562" s="157" t="str">
        <f t="shared" si="87"/>
        <v/>
      </c>
    </row>
    <row r="563" spans="1:18" ht="15" customHeight="1" x14ac:dyDescent="0.25">
      <c r="A563" s="272" t="s">
        <v>22</v>
      </c>
      <c r="B563" s="261" t="s">
        <v>746</v>
      </c>
      <c r="C563" s="272" t="s">
        <v>10</v>
      </c>
      <c r="D563" s="272" t="s">
        <v>747</v>
      </c>
      <c r="E563" s="363" t="s">
        <v>44</v>
      </c>
      <c r="F563" s="363"/>
      <c r="G563" s="260" t="s">
        <v>28</v>
      </c>
      <c r="H563" s="263">
        <v>1</v>
      </c>
      <c r="I563" s="262">
        <f>SUMIFS(J:J,A:A,"Composição",B:B,$B563)</f>
        <v>1.31</v>
      </c>
      <c r="J563" s="262">
        <f>TRUNC(H563*I563,2)</f>
        <v>1.31</v>
      </c>
      <c r="L563" s="145">
        <f t="shared" si="81"/>
        <v>65</v>
      </c>
      <c r="M563" s="156">
        <f t="shared" si="82"/>
        <v>1.31</v>
      </c>
      <c r="N563" s="157" t="str">
        <f t="shared" si="83"/>
        <v/>
      </c>
      <c r="O563" s="157">
        <f t="shared" si="84"/>
        <v>1.31</v>
      </c>
      <c r="P563" s="158" t="str">
        <f t="shared" si="85"/>
        <v/>
      </c>
      <c r="Q563" s="157" t="str">
        <f t="shared" si="86"/>
        <v/>
      </c>
      <c r="R563" s="157" t="str">
        <f t="shared" si="87"/>
        <v/>
      </c>
    </row>
    <row r="564" spans="1:18" ht="26.4" x14ac:dyDescent="0.25">
      <c r="A564" s="272" t="s">
        <v>22</v>
      </c>
      <c r="B564" s="261" t="s">
        <v>748</v>
      </c>
      <c r="C564" s="272" t="s">
        <v>10</v>
      </c>
      <c r="D564" s="272" t="s">
        <v>749</v>
      </c>
      <c r="E564" s="363" t="s">
        <v>44</v>
      </c>
      <c r="F564" s="363"/>
      <c r="G564" s="260" t="s">
        <v>28</v>
      </c>
      <c r="H564" s="263">
        <v>1</v>
      </c>
      <c r="I564" s="262">
        <f>SUMIFS(J:J,A:A,"Composição",B:B,$B564)</f>
        <v>0.15</v>
      </c>
      <c r="J564" s="262">
        <f>TRUNC(H564*I564,2)</f>
        <v>0.15</v>
      </c>
      <c r="L564" s="145">
        <f t="shared" si="81"/>
        <v>65</v>
      </c>
      <c r="M564" s="156">
        <f t="shared" si="82"/>
        <v>0.15</v>
      </c>
      <c r="N564" s="157" t="str">
        <f t="shared" si="83"/>
        <v/>
      </c>
      <c r="O564" s="157">
        <f t="shared" si="84"/>
        <v>0.15</v>
      </c>
      <c r="P564" s="158" t="str">
        <f t="shared" si="85"/>
        <v/>
      </c>
      <c r="Q564" s="157" t="str">
        <f t="shared" si="86"/>
        <v/>
      </c>
      <c r="R564" s="157" t="str">
        <f t="shared" si="87"/>
        <v/>
      </c>
    </row>
    <row r="565" spans="1:18" ht="38.25" customHeight="1" x14ac:dyDescent="0.25">
      <c r="A565" s="272" t="s">
        <v>22</v>
      </c>
      <c r="B565" s="261" t="s">
        <v>750</v>
      </c>
      <c r="C565" s="272" t="s">
        <v>10</v>
      </c>
      <c r="D565" s="272" t="s">
        <v>751</v>
      </c>
      <c r="E565" s="363" t="s">
        <v>27</v>
      </c>
      <c r="F565" s="363"/>
      <c r="G565" s="260" t="s">
        <v>28</v>
      </c>
      <c r="H565" s="263">
        <v>1</v>
      </c>
      <c r="I565" s="262">
        <f>SUMIFS(J:J,A:A,"Composição",B:B,$B565)</f>
        <v>18.98</v>
      </c>
      <c r="J565" s="262">
        <f>TRUNC(H565*I565,2)</f>
        <v>18.98</v>
      </c>
      <c r="L565" s="145">
        <f t="shared" si="81"/>
        <v>65</v>
      </c>
      <c r="M565" s="156">
        <f t="shared" si="82"/>
        <v>18.98</v>
      </c>
      <c r="N565" s="157" t="str">
        <f t="shared" si="83"/>
        <v/>
      </c>
      <c r="O565" s="157">
        <f t="shared" si="84"/>
        <v>18.98</v>
      </c>
      <c r="P565" s="158" t="str">
        <f t="shared" si="85"/>
        <v/>
      </c>
      <c r="Q565" s="157" t="str">
        <f t="shared" si="86"/>
        <v/>
      </c>
      <c r="R565" s="157" t="str">
        <f t="shared" si="87"/>
        <v/>
      </c>
    </row>
    <row r="566" spans="1:18" ht="14.25" customHeight="1" x14ac:dyDescent="0.25">
      <c r="A566" s="274"/>
      <c r="B566" s="274"/>
      <c r="C566" s="274"/>
      <c r="D566" s="274"/>
      <c r="E566" s="274"/>
      <c r="F566" s="268"/>
      <c r="G566" s="274"/>
      <c r="H566" s="268"/>
      <c r="I566" s="274"/>
      <c r="J566" s="268"/>
      <c r="L566" s="145">
        <f t="shared" si="81"/>
        <v>65</v>
      </c>
      <c r="M566" s="156" t="str">
        <f t="shared" si="82"/>
        <v/>
      </c>
      <c r="N566" s="157" t="str">
        <f t="shared" si="83"/>
        <v/>
      </c>
      <c r="O566" s="157" t="str">
        <f t="shared" si="84"/>
        <v/>
      </c>
      <c r="P566" s="158" t="str">
        <f t="shared" si="85"/>
        <v/>
      </c>
      <c r="Q566" s="157" t="str">
        <f t="shared" si="86"/>
        <v/>
      </c>
      <c r="R566" s="157" t="str">
        <f t="shared" si="87"/>
        <v/>
      </c>
    </row>
    <row r="567" spans="1:18" ht="14.4" thickBot="1" x14ac:dyDescent="0.3">
      <c r="A567" s="274"/>
      <c r="B567" s="274"/>
      <c r="C567" s="274"/>
      <c r="D567" s="274"/>
      <c r="E567" s="274"/>
      <c r="F567" s="268"/>
      <c r="G567" s="274"/>
      <c r="H567" s="350"/>
      <c r="I567" s="350"/>
      <c r="J567" s="268"/>
      <c r="L567" s="145">
        <f t="shared" si="81"/>
        <v>65</v>
      </c>
      <c r="M567" s="156" t="str">
        <f t="shared" si="82"/>
        <v/>
      </c>
      <c r="N567" s="157" t="str">
        <f t="shared" si="83"/>
        <v/>
      </c>
      <c r="O567" s="157" t="str">
        <f t="shared" si="84"/>
        <v/>
      </c>
      <c r="P567" s="158" t="str">
        <f t="shared" si="85"/>
        <v/>
      </c>
      <c r="Q567" s="157" t="str">
        <f t="shared" si="86"/>
        <v/>
      </c>
      <c r="R567" s="157" t="str">
        <f t="shared" si="87"/>
        <v/>
      </c>
    </row>
    <row r="568" spans="1:18" ht="14.4" thickTop="1" x14ac:dyDescent="0.25">
      <c r="A568" s="259"/>
      <c r="B568" s="259"/>
      <c r="C568" s="259"/>
      <c r="D568" s="259"/>
      <c r="E568" s="259"/>
      <c r="F568" s="259"/>
      <c r="G568" s="259"/>
      <c r="H568" s="259"/>
      <c r="I568" s="259"/>
      <c r="J568" s="259"/>
      <c r="L568" s="145">
        <f t="shared" si="81"/>
        <v>65</v>
      </c>
      <c r="M568" s="156" t="str">
        <f t="shared" si="82"/>
        <v/>
      </c>
      <c r="N568" s="157" t="str">
        <f t="shared" si="83"/>
        <v/>
      </c>
      <c r="O568" s="157" t="str">
        <f t="shared" si="84"/>
        <v/>
      </c>
      <c r="P568" s="158" t="str">
        <f t="shared" si="85"/>
        <v/>
      </c>
      <c r="Q568" s="157" t="str">
        <f t="shared" si="86"/>
        <v/>
      </c>
      <c r="R568" s="157" t="str">
        <f t="shared" si="87"/>
        <v/>
      </c>
    </row>
    <row r="569" spans="1:18" x14ac:dyDescent="0.25">
      <c r="A569" s="270"/>
      <c r="B569" s="254" t="s">
        <v>1</v>
      </c>
      <c r="C569" s="270" t="s">
        <v>2</v>
      </c>
      <c r="D569" s="270" t="s">
        <v>3</v>
      </c>
      <c r="E569" s="347" t="s">
        <v>19</v>
      </c>
      <c r="F569" s="347"/>
      <c r="G569" s="253" t="s">
        <v>4</v>
      </c>
      <c r="H569" s="254" t="s">
        <v>5</v>
      </c>
      <c r="I569" s="254" t="s">
        <v>6</v>
      </c>
      <c r="J569" s="254" t="s">
        <v>7</v>
      </c>
      <c r="L569" s="145">
        <f t="shared" si="81"/>
        <v>66</v>
      </c>
      <c r="M569" s="156" t="str">
        <f t="shared" si="82"/>
        <v/>
      </c>
      <c r="N569" s="157" t="str">
        <f t="shared" si="83"/>
        <v/>
      </c>
      <c r="O569" s="157" t="str">
        <f t="shared" si="84"/>
        <v/>
      </c>
      <c r="P569" s="158" t="str">
        <f t="shared" si="85"/>
        <v/>
      </c>
      <c r="Q569" s="157" t="str">
        <f t="shared" si="86"/>
        <v/>
      </c>
      <c r="R569" s="157" t="str">
        <f t="shared" si="87"/>
        <v/>
      </c>
    </row>
    <row r="570" spans="1:18" ht="26.4" x14ac:dyDescent="0.25">
      <c r="A570" s="271" t="s">
        <v>20</v>
      </c>
      <c r="B570" s="256" t="s">
        <v>746</v>
      </c>
      <c r="C570" s="271" t="s">
        <v>10</v>
      </c>
      <c r="D570" s="271" t="s">
        <v>747</v>
      </c>
      <c r="E570" s="362" t="s">
        <v>44</v>
      </c>
      <c r="F570" s="362"/>
      <c r="G570" s="255" t="s">
        <v>28</v>
      </c>
      <c r="H570" s="258">
        <v>1</v>
      </c>
      <c r="I570" s="257">
        <f>SUMIF(L:L,$L570,M:M)</f>
        <v>1.31</v>
      </c>
      <c r="J570" s="257">
        <f>TRUNC(H570*I570,2)</f>
        <v>1.31</v>
      </c>
      <c r="L570" s="145">
        <f t="shared" si="81"/>
        <v>66</v>
      </c>
      <c r="M570" s="156" t="str">
        <f t="shared" si="82"/>
        <v/>
      </c>
      <c r="N570" s="157" t="str">
        <f t="shared" si="83"/>
        <v/>
      </c>
      <c r="O570" s="157" t="str">
        <f t="shared" si="84"/>
        <v/>
      </c>
      <c r="P570" s="158" t="str">
        <f t="shared" si="85"/>
        <v xml:space="preserve"> 95114 </v>
      </c>
      <c r="Q570" s="157">
        <f t="shared" si="86"/>
        <v>0</v>
      </c>
      <c r="R570" s="157">
        <f t="shared" si="87"/>
        <v>1.31</v>
      </c>
    </row>
    <row r="571" spans="1:18" ht="26.4" x14ac:dyDescent="0.25">
      <c r="A571" s="273" t="s">
        <v>31</v>
      </c>
      <c r="B571" s="265" t="s">
        <v>566</v>
      </c>
      <c r="C571" s="273" t="str">
        <f>VLOOKUP(B571,INSUMOS!$A:$I,2,FALSE)</f>
        <v>SINAPI</v>
      </c>
      <c r="D571" s="273" t="str">
        <f>VLOOKUP(B571,INSUMOS!$A:$I,3,FALSE)</f>
        <v>MARTELO DEMOLIDOR PNEUMATICO MANUAL, PESO  DE 28 KG, COM SILENCIADOR</v>
      </c>
      <c r="E571" s="361" t="str">
        <f>VLOOKUP(B571,INSUMOS!$A:$I,4,FALSE)</f>
        <v>Equipamento</v>
      </c>
      <c r="F571" s="361"/>
      <c r="G571" s="264" t="str">
        <f>VLOOKUP(B571,INSUMOS!$A:$I,5,FALSE)</f>
        <v>UN</v>
      </c>
      <c r="H571" s="267">
        <v>6.3999999999999997E-5</v>
      </c>
      <c r="I571" s="266">
        <f>VLOOKUP(B571,INSUMOS!$A:$I,8,FALSE)</f>
        <v>20482.54</v>
      </c>
      <c r="J571" s="266">
        <f>TRUNC(H571*I571,2)</f>
        <v>1.31</v>
      </c>
      <c r="L571" s="145">
        <f t="shared" si="81"/>
        <v>66</v>
      </c>
      <c r="M571" s="156">
        <f t="shared" si="82"/>
        <v>1.31</v>
      </c>
      <c r="N571" s="157" t="str">
        <f t="shared" si="83"/>
        <v/>
      </c>
      <c r="O571" s="157">
        <f t="shared" si="84"/>
        <v>1.31</v>
      </c>
      <c r="P571" s="158" t="str">
        <f t="shared" si="85"/>
        <v/>
      </c>
      <c r="Q571" s="157" t="str">
        <f t="shared" si="86"/>
        <v/>
      </c>
      <c r="R571" s="157" t="str">
        <f t="shared" si="87"/>
        <v/>
      </c>
    </row>
    <row r="572" spans="1:18" ht="15" customHeight="1" x14ac:dyDescent="0.25">
      <c r="A572" s="274"/>
      <c r="B572" s="274"/>
      <c r="C572" s="274"/>
      <c r="D572" s="274"/>
      <c r="E572" s="274"/>
      <c r="F572" s="268"/>
      <c r="G572" s="274"/>
      <c r="H572" s="268"/>
      <c r="I572" s="274"/>
      <c r="J572" s="268"/>
      <c r="L572" s="145">
        <f t="shared" si="81"/>
        <v>66</v>
      </c>
      <c r="M572" s="156" t="str">
        <f t="shared" si="82"/>
        <v/>
      </c>
      <c r="N572" s="157" t="str">
        <f t="shared" si="83"/>
        <v/>
      </c>
      <c r="O572" s="157" t="str">
        <f t="shared" si="84"/>
        <v/>
      </c>
      <c r="P572" s="158" t="str">
        <f t="shared" si="85"/>
        <v/>
      </c>
      <c r="Q572" s="157" t="str">
        <f t="shared" si="86"/>
        <v/>
      </c>
      <c r="R572" s="157" t="str">
        <f t="shared" si="87"/>
        <v/>
      </c>
    </row>
    <row r="573" spans="1:18" ht="14.4" thickBot="1" x14ac:dyDescent="0.3">
      <c r="A573" s="274"/>
      <c r="B573" s="274"/>
      <c r="C573" s="274"/>
      <c r="D573" s="274"/>
      <c r="E573" s="274"/>
      <c r="F573" s="268"/>
      <c r="G573" s="274"/>
      <c r="H573" s="350"/>
      <c r="I573" s="350"/>
      <c r="J573" s="268"/>
      <c r="L573" s="145">
        <f t="shared" si="81"/>
        <v>66</v>
      </c>
      <c r="M573" s="156" t="str">
        <f t="shared" si="82"/>
        <v/>
      </c>
      <c r="N573" s="157" t="str">
        <f t="shared" si="83"/>
        <v/>
      </c>
      <c r="O573" s="157" t="str">
        <f t="shared" si="84"/>
        <v/>
      </c>
      <c r="P573" s="158" t="str">
        <f t="shared" si="85"/>
        <v/>
      </c>
      <c r="Q573" s="157" t="str">
        <f t="shared" si="86"/>
        <v/>
      </c>
      <c r="R573" s="157" t="str">
        <f t="shared" si="87"/>
        <v/>
      </c>
    </row>
    <row r="574" spans="1:18" ht="14.4" thickTop="1" x14ac:dyDescent="0.25">
      <c r="A574" s="259"/>
      <c r="B574" s="259"/>
      <c r="C574" s="259"/>
      <c r="D574" s="259"/>
      <c r="E574" s="259"/>
      <c r="F574" s="259"/>
      <c r="G574" s="259"/>
      <c r="H574" s="259"/>
      <c r="I574" s="259"/>
      <c r="J574" s="259"/>
      <c r="L574" s="145">
        <f t="shared" si="81"/>
        <v>66</v>
      </c>
      <c r="M574" s="156" t="str">
        <f t="shared" si="82"/>
        <v/>
      </c>
      <c r="N574" s="157" t="str">
        <f t="shared" si="83"/>
        <v/>
      </c>
      <c r="O574" s="157" t="str">
        <f t="shared" si="84"/>
        <v/>
      </c>
      <c r="P574" s="158" t="str">
        <f t="shared" si="85"/>
        <v/>
      </c>
      <c r="Q574" s="157" t="str">
        <f t="shared" si="86"/>
        <v/>
      </c>
      <c r="R574" s="157" t="str">
        <f t="shared" si="87"/>
        <v/>
      </c>
    </row>
    <row r="575" spans="1:18" ht="38.25" customHeight="1" x14ac:dyDescent="0.25">
      <c r="A575" s="270"/>
      <c r="B575" s="254" t="s">
        <v>1</v>
      </c>
      <c r="C575" s="270" t="s">
        <v>2</v>
      </c>
      <c r="D575" s="270" t="s">
        <v>3</v>
      </c>
      <c r="E575" s="347" t="s">
        <v>19</v>
      </c>
      <c r="F575" s="347"/>
      <c r="G575" s="253" t="s">
        <v>4</v>
      </c>
      <c r="H575" s="254" t="s">
        <v>5</v>
      </c>
      <c r="I575" s="254" t="s">
        <v>6</v>
      </c>
      <c r="J575" s="254" t="s">
        <v>7</v>
      </c>
      <c r="L575" s="145">
        <f t="shared" si="81"/>
        <v>67</v>
      </c>
      <c r="M575" s="156" t="str">
        <f t="shared" si="82"/>
        <v/>
      </c>
      <c r="N575" s="157" t="str">
        <f t="shared" si="83"/>
        <v/>
      </c>
      <c r="O575" s="157" t="str">
        <f t="shared" si="84"/>
        <v/>
      </c>
      <c r="P575" s="158" t="str">
        <f t="shared" si="85"/>
        <v/>
      </c>
      <c r="Q575" s="157" t="str">
        <f t="shared" si="86"/>
        <v/>
      </c>
      <c r="R575" s="157" t="str">
        <f t="shared" si="87"/>
        <v/>
      </c>
    </row>
    <row r="576" spans="1:18" ht="15" customHeight="1" x14ac:dyDescent="0.25">
      <c r="A576" s="271" t="s">
        <v>20</v>
      </c>
      <c r="B576" s="256" t="s">
        <v>748</v>
      </c>
      <c r="C576" s="271" t="s">
        <v>10</v>
      </c>
      <c r="D576" s="271" t="s">
        <v>749</v>
      </c>
      <c r="E576" s="362" t="s">
        <v>44</v>
      </c>
      <c r="F576" s="362"/>
      <c r="G576" s="255" t="s">
        <v>28</v>
      </c>
      <c r="H576" s="258">
        <v>1</v>
      </c>
      <c r="I576" s="257">
        <f>SUMIF(L:L,$L576,M:M)</f>
        <v>0.15</v>
      </c>
      <c r="J576" s="257">
        <f>TRUNC(H576*I576,2)</f>
        <v>0.15</v>
      </c>
      <c r="L576" s="145">
        <f t="shared" si="81"/>
        <v>67</v>
      </c>
      <c r="M576" s="156" t="str">
        <f t="shared" si="82"/>
        <v/>
      </c>
      <c r="N576" s="157" t="str">
        <f t="shared" si="83"/>
        <v/>
      </c>
      <c r="O576" s="157" t="str">
        <f t="shared" si="84"/>
        <v/>
      </c>
      <c r="P576" s="158" t="str">
        <f t="shared" si="85"/>
        <v xml:space="preserve"> 95115 </v>
      </c>
      <c r="Q576" s="157">
        <f t="shared" si="86"/>
        <v>0</v>
      </c>
      <c r="R576" s="157">
        <f t="shared" si="87"/>
        <v>0.15</v>
      </c>
    </row>
    <row r="577" spans="1:18" ht="26.4" x14ac:dyDescent="0.25">
      <c r="A577" s="273" t="s">
        <v>31</v>
      </c>
      <c r="B577" s="265" t="s">
        <v>566</v>
      </c>
      <c r="C577" s="273" t="str">
        <f>VLOOKUP(B577,INSUMOS!$A:$I,2,FALSE)</f>
        <v>SINAPI</v>
      </c>
      <c r="D577" s="273" t="str">
        <f>VLOOKUP(B577,INSUMOS!$A:$I,3,FALSE)</f>
        <v>MARTELO DEMOLIDOR PNEUMATICO MANUAL, PESO  DE 28 KG, COM SILENCIADOR</v>
      </c>
      <c r="E577" s="361" t="str">
        <f>VLOOKUP(B577,INSUMOS!$A:$I,4,FALSE)</f>
        <v>Equipamento</v>
      </c>
      <c r="F577" s="361"/>
      <c r="G577" s="264" t="str">
        <f>VLOOKUP(B577,INSUMOS!$A:$I,5,FALSE)</f>
        <v>UN</v>
      </c>
      <c r="H577" s="267">
        <v>7.6000000000000001E-6</v>
      </c>
      <c r="I577" s="266">
        <f>VLOOKUP(B577,INSUMOS!$A:$I,8,FALSE)</f>
        <v>20482.54</v>
      </c>
      <c r="J577" s="266">
        <f>TRUNC(H577*I577,2)</f>
        <v>0.15</v>
      </c>
      <c r="L577" s="145">
        <f t="shared" si="81"/>
        <v>67</v>
      </c>
      <c r="M577" s="156">
        <f t="shared" si="82"/>
        <v>0.15</v>
      </c>
      <c r="N577" s="157" t="str">
        <f t="shared" si="83"/>
        <v/>
      </c>
      <c r="O577" s="157">
        <f t="shared" si="84"/>
        <v>0.15</v>
      </c>
      <c r="P577" s="158" t="str">
        <f t="shared" si="85"/>
        <v/>
      </c>
      <c r="Q577" s="157" t="str">
        <f>IF(P577&lt;&gt;"",SUMIF(L577:L676,L577,N577:N676),"")</f>
        <v/>
      </c>
      <c r="R577" s="157" t="str">
        <f>IF(P577&lt;&gt;"",SUMIF(L577:L676,L577,O577:O676),"")</f>
        <v/>
      </c>
    </row>
    <row r="578" spans="1:18" x14ac:dyDescent="0.25">
      <c r="A578" s="274"/>
      <c r="B578" s="274"/>
      <c r="C578" s="274"/>
      <c r="D578" s="274"/>
      <c r="E578" s="274"/>
      <c r="F578" s="268"/>
      <c r="G578" s="274"/>
      <c r="H578" s="268"/>
      <c r="I578" s="274"/>
      <c r="J578" s="268"/>
      <c r="L578" s="145">
        <f t="shared" si="81"/>
        <v>67</v>
      </c>
      <c r="M578" s="156" t="str">
        <f t="shared" si="82"/>
        <v/>
      </c>
      <c r="N578" s="157" t="str">
        <f t="shared" si="83"/>
        <v/>
      </c>
      <c r="O578" s="157" t="str">
        <f t="shared" si="84"/>
        <v/>
      </c>
      <c r="P578" s="158" t="str">
        <f t="shared" si="85"/>
        <v/>
      </c>
      <c r="Q578" s="157" t="str">
        <f>IF(P578&lt;&gt;"",SUMIF(L578:L676,L578,N578:N676),"")</f>
        <v/>
      </c>
      <c r="R578" s="157" t="str">
        <f>IF(P578&lt;&gt;"",SUMIF(L578:L676,L578,O578:O676),"")</f>
        <v/>
      </c>
    </row>
    <row r="579" spans="1:18" ht="14.25" customHeight="1" thickBot="1" x14ac:dyDescent="0.3">
      <c r="A579" s="274"/>
      <c r="B579" s="274"/>
      <c r="C579" s="274"/>
      <c r="D579" s="274"/>
      <c r="E579" s="274"/>
      <c r="F579" s="268"/>
      <c r="G579" s="274"/>
      <c r="H579" s="350"/>
      <c r="I579" s="350"/>
      <c r="J579" s="268"/>
      <c r="L579" s="145">
        <f t="shared" si="81"/>
        <v>67</v>
      </c>
      <c r="M579" s="156" t="str">
        <f t="shared" si="82"/>
        <v/>
      </c>
      <c r="N579" s="157" t="str">
        <f t="shared" si="83"/>
        <v/>
      </c>
      <c r="O579" s="157" t="str">
        <f t="shared" si="84"/>
        <v/>
      </c>
      <c r="P579" s="158" t="str">
        <f t="shared" si="85"/>
        <v/>
      </c>
      <c r="Q579" s="157" t="str">
        <f>IF(P579&lt;&gt;"",SUMIF(L579:L676,L579,N579:N676),"")</f>
        <v/>
      </c>
      <c r="R579" s="157" t="str">
        <f>IF(P579&lt;&gt;"",SUMIF(L579:L676,L579,O579:O676),"")</f>
        <v/>
      </c>
    </row>
    <row r="580" spans="1:18" ht="38.25" customHeight="1" thickTop="1" x14ac:dyDescent="0.25">
      <c r="A580" s="259"/>
      <c r="B580" s="259"/>
      <c r="C580" s="259"/>
      <c r="D580" s="259"/>
      <c r="E580" s="259"/>
      <c r="F580" s="259"/>
      <c r="G580" s="259"/>
      <c r="H580" s="259"/>
      <c r="I580" s="259"/>
      <c r="J580" s="259"/>
      <c r="L580" s="145">
        <f t="shared" si="81"/>
        <v>67</v>
      </c>
      <c r="M580" s="156" t="str">
        <f t="shared" si="82"/>
        <v/>
      </c>
      <c r="N580" s="157" t="str">
        <f t="shared" si="83"/>
        <v/>
      </c>
      <c r="O580" s="157" t="str">
        <f t="shared" si="84"/>
        <v/>
      </c>
      <c r="P580" s="158" t="str">
        <f t="shared" si="85"/>
        <v/>
      </c>
      <c r="Q580" s="157" t="str">
        <f>IF(P580&lt;&gt;"",SUMIF(L580:L676,L580,N580:N676),"")</f>
        <v/>
      </c>
      <c r="R580" s="157" t="str">
        <f>IF(P580&lt;&gt;"",SUMIF(L580:L676,L580,O580:O676),"")</f>
        <v/>
      </c>
    </row>
    <row r="581" spans="1:18" x14ac:dyDescent="0.25">
      <c r="A581" s="270"/>
      <c r="B581" s="254" t="s">
        <v>1</v>
      </c>
      <c r="C581" s="270" t="s">
        <v>2</v>
      </c>
      <c r="D581" s="270" t="s">
        <v>3</v>
      </c>
      <c r="E581" s="347" t="s">
        <v>19</v>
      </c>
      <c r="F581" s="347"/>
      <c r="G581" s="253" t="s">
        <v>4</v>
      </c>
      <c r="H581" s="254" t="s">
        <v>5</v>
      </c>
      <c r="I581" s="254" t="s">
        <v>6</v>
      </c>
      <c r="J581" s="254" t="s">
        <v>7</v>
      </c>
      <c r="L581" s="145">
        <f t="shared" si="81"/>
        <v>68</v>
      </c>
      <c r="M581" s="156" t="str">
        <f t="shared" si="82"/>
        <v/>
      </c>
      <c r="N581" s="157" t="str">
        <f t="shared" si="83"/>
        <v/>
      </c>
      <c r="O581" s="157" t="str">
        <f t="shared" si="84"/>
        <v/>
      </c>
      <c r="P581" s="158" t="str">
        <f t="shared" si="85"/>
        <v/>
      </c>
      <c r="Q581" s="157" t="str">
        <f>IF(P581&lt;&gt;"",SUMIF(L581:L676,L581,N581:N676),"")</f>
        <v/>
      </c>
      <c r="R581" s="157" t="str">
        <f>IF(P581&lt;&gt;"",SUMIF(L581:L676,L581,O581:O676),"")</f>
        <v/>
      </c>
    </row>
    <row r="582" spans="1:18" ht="15" customHeight="1" x14ac:dyDescent="0.25">
      <c r="A582" s="271" t="s">
        <v>20</v>
      </c>
      <c r="B582" s="256" t="s">
        <v>752</v>
      </c>
      <c r="C582" s="271" t="s">
        <v>10</v>
      </c>
      <c r="D582" s="271" t="s">
        <v>753</v>
      </c>
      <c r="E582" s="362" t="s">
        <v>44</v>
      </c>
      <c r="F582" s="362"/>
      <c r="G582" s="255" t="s">
        <v>28</v>
      </c>
      <c r="H582" s="258">
        <v>1</v>
      </c>
      <c r="I582" s="257">
        <f>SUMIF(L:L,$L582,M:M)</f>
        <v>1.63</v>
      </c>
      <c r="J582" s="257">
        <f>TRUNC(H582*I582,2)</f>
        <v>1.63</v>
      </c>
      <c r="L582" s="145">
        <f t="shared" si="81"/>
        <v>68</v>
      </c>
      <c r="M582" s="156" t="str">
        <f t="shared" si="82"/>
        <v/>
      </c>
      <c r="N582" s="157" t="str">
        <f t="shared" si="83"/>
        <v/>
      </c>
      <c r="O582" s="157" t="str">
        <f t="shared" si="84"/>
        <v/>
      </c>
      <c r="P582" s="158" t="str">
        <f t="shared" si="85"/>
        <v xml:space="preserve"> 53863 </v>
      </c>
      <c r="Q582" s="157">
        <f>IF(P582&lt;&gt;"",SUMIF(L582:L676,L582,N582:N676),"")</f>
        <v>0</v>
      </c>
      <c r="R582" s="157">
        <f>IF(P582&lt;&gt;"",SUMIF(L582:L676,L582,O582:O676),"")</f>
        <v>1.63</v>
      </c>
    </row>
    <row r="583" spans="1:18" ht="26.4" x14ac:dyDescent="0.25">
      <c r="A583" s="273" t="s">
        <v>31</v>
      </c>
      <c r="B583" s="265" t="s">
        <v>566</v>
      </c>
      <c r="C583" s="273" t="str">
        <f>VLOOKUP(B583,INSUMOS!$A:$I,2,FALSE)</f>
        <v>SINAPI</v>
      </c>
      <c r="D583" s="273" t="str">
        <f>VLOOKUP(B583,INSUMOS!$A:$I,3,FALSE)</f>
        <v>MARTELO DEMOLIDOR PNEUMATICO MANUAL, PESO  DE 28 KG, COM SILENCIADOR</v>
      </c>
      <c r="E583" s="361" t="str">
        <f>VLOOKUP(B583,INSUMOS!$A:$I,4,FALSE)</f>
        <v>Equipamento</v>
      </c>
      <c r="F583" s="361"/>
      <c r="G583" s="264" t="str">
        <f>VLOOKUP(B583,INSUMOS!$A:$I,5,FALSE)</f>
        <v>UN</v>
      </c>
      <c r="H583" s="267">
        <v>8.0000000000000007E-5</v>
      </c>
      <c r="I583" s="266">
        <f>VLOOKUP(B583,INSUMOS!$A:$I,8,FALSE)</f>
        <v>20482.54</v>
      </c>
      <c r="J583" s="266">
        <f>TRUNC(H583*I583,2)</f>
        <v>1.63</v>
      </c>
      <c r="L583" s="145">
        <f t="shared" si="81"/>
        <v>68</v>
      </c>
      <c r="M583" s="156">
        <f t="shared" si="82"/>
        <v>1.63</v>
      </c>
      <c r="N583" s="157" t="str">
        <f t="shared" si="83"/>
        <v/>
      </c>
      <c r="O583" s="157">
        <f t="shared" si="84"/>
        <v>1.63</v>
      </c>
      <c r="P583" s="158" t="str">
        <f t="shared" si="85"/>
        <v/>
      </c>
      <c r="Q583" s="157" t="str">
        <f>IF(P583&lt;&gt;"",SUMIF(L583:L676,L583,N583:N676),"")</f>
        <v/>
      </c>
      <c r="R583" s="157" t="str">
        <f>IF(P583&lt;&gt;"",SUMIF(L583:L676,L583,O583:O676),"")</f>
        <v/>
      </c>
    </row>
    <row r="584" spans="1:18" x14ac:dyDescent="0.25">
      <c r="A584" s="274"/>
      <c r="B584" s="274"/>
      <c r="C584" s="274"/>
      <c r="D584" s="274"/>
      <c r="E584" s="274"/>
      <c r="F584" s="268"/>
      <c r="G584" s="274"/>
      <c r="H584" s="268"/>
      <c r="I584" s="274"/>
      <c r="J584" s="268"/>
      <c r="L584" s="145">
        <f t="shared" si="81"/>
        <v>68</v>
      </c>
      <c r="M584" s="156" t="str">
        <f t="shared" si="82"/>
        <v/>
      </c>
      <c r="N584" s="157" t="str">
        <f t="shared" si="83"/>
        <v/>
      </c>
      <c r="O584" s="157" t="str">
        <f t="shared" si="84"/>
        <v/>
      </c>
      <c r="P584" s="158" t="str">
        <f t="shared" si="85"/>
        <v/>
      </c>
      <c r="Q584" s="157" t="str">
        <f>IF(P584&lt;&gt;"",SUMIF(L584:L676,L584,N584:N676),"")</f>
        <v/>
      </c>
      <c r="R584" s="157" t="str">
        <f>IF(P584&lt;&gt;"",SUMIF(L584:L676,L584,O584:O676),"")</f>
        <v/>
      </c>
    </row>
    <row r="585" spans="1:18" ht="38.25" customHeight="1" thickBot="1" x14ac:dyDescent="0.3">
      <c r="A585" s="274"/>
      <c r="B585" s="274"/>
      <c r="C585" s="274"/>
      <c r="D585" s="274"/>
      <c r="E585" s="274"/>
      <c r="F585" s="268"/>
      <c r="G585" s="274"/>
      <c r="H585" s="350"/>
      <c r="I585" s="350"/>
      <c r="J585" s="268"/>
      <c r="L585" s="145">
        <f t="shared" si="81"/>
        <v>68</v>
      </c>
      <c r="M585" s="156" t="str">
        <f t="shared" si="82"/>
        <v/>
      </c>
      <c r="N585" s="157" t="str">
        <f t="shared" si="83"/>
        <v/>
      </c>
      <c r="O585" s="157" t="str">
        <f t="shared" si="84"/>
        <v/>
      </c>
      <c r="P585" s="158" t="str">
        <f t="shared" si="85"/>
        <v/>
      </c>
      <c r="Q585" s="157" t="str">
        <f>IF(P585&lt;&gt;"",SUMIF(L585:L676,L585,N585:N676),"")</f>
        <v/>
      </c>
      <c r="R585" s="157" t="str">
        <f>IF(P585&lt;&gt;"",SUMIF(L585:L676,L585,O585:O676),"")</f>
        <v/>
      </c>
    </row>
    <row r="586" spans="1:18" ht="14.4" thickTop="1" x14ac:dyDescent="0.25">
      <c r="A586" s="259"/>
      <c r="B586" s="259"/>
      <c r="C586" s="259"/>
      <c r="D586" s="259"/>
      <c r="E586" s="259"/>
      <c r="F586" s="259"/>
      <c r="G586" s="259"/>
      <c r="H586" s="259"/>
      <c r="I586" s="259"/>
      <c r="J586" s="259"/>
      <c r="L586" s="145">
        <f t="shared" si="81"/>
        <v>68</v>
      </c>
      <c r="M586" s="156" t="str">
        <f t="shared" si="82"/>
        <v/>
      </c>
      <c r="N586" s="157" t="str">
        <f t="shared" si="83"/>
        <v/>
      </c>
      <c r="O586" s="157" t="str">
        <f t="shared" si="84"/>
        <v/>
      </c>
      <c r="P586" s="158" t="str">
        <f t="shared" si="85"/>
        <v/>
      </c>
      <c r="Q586" s="157" t="str">
        <f>IF(P586&lt;&gt;"",SUMIF(L586:L676,L586,N586:N676),"")</f>
        <v/>
      </c>
      <c r="R586" s="157" t="str">
        <f>IF(P586&lt;&gt;"",SUMIF(L586:L676,L586,O586:O676),"")</f>
        <v/>
      </c>
    </row>
    <row r="587" spans="1:18" ht="14.25" customHeight="1" x14ac:dyDescent="0.25">
      <c r="A587" s="270"/>
      <c r="B587" s="254" t="s">
        <v>1</v>
      </c>
      <c r="C587" s="270" t="s">
        <v>2</v>
      </c>
      <c r="D587" s="270" t="s">
        <v>3</v>
      </c>
      <c r="E587" s="347" t="s">
        <v>19</v>
      </c>
      <c r="F587" s="347"/>
      <c r="G587" s="253" t="s">
        <v>4</v>
      </c>
      <c r="H587" s="254" t="s">
        <v>5</v>
      </c>
      <c r="I587" s="254" t="s">
        <v>6</v>
      </c>
      <c r="J587" s="254" t="s">
        <v>7</v>
      </c>
      <c r="L587" s="145">
        <f t="shared" si="81"/>
        <v>69</v>
      </c>
      <c r="M587" s="156" t="str">
        <f t="shared" si="82"/>
        <v/>
      </c>
      <c r="N587" s="157" t="str">
        <f t="shared" si="83"/>
        <v/>
      </c>
      <c r="O587" s="157" t="str">
        <f t="shared" si="84"/>
        <v/>
      </c>
      <c r="P587" s="158" t="str">
        <f t="shared" si="85"/>
        <v/>
      </c>
      <c r="Q587" s="157" t="str">
        <f>IF(P587&lt;&gt;"",SUMIF(L587:L676,L587,N587:N676),"")</f>
        <v/>
      </c>
      <c r="R587" s="157" t="str">
        <f>IF(P587&lt;&gt;"",SUMIF(L587:L676,L587,O587:O676),"")</f>
        <v/>
      </c>
    </row>
    <row r="588" spans="1:18" ht="26.4" x14ac:dyDescent="0.25">
      <c r="A588" s="271" t="s">
        <v>20</v>
      </c>
      <c r="B588" s="256" t="s">
        <v>714</v>
      </c>
      <c r="C588" s="271" t="s">
        <v>10</v>
      </c>
      <c r="D588" s="271" t="s">
        <v>715</v>
      </c>
      <c r="E588" s="362" t="s">
        <v>27</v>
      </c>
      <c r="F588" s="362"/>
      <c r="G588" s="255" t="s">
        <v>28</v>
      </c>
      <c r="H588" s="258">
        <v>1</v>
      </c>
      <c r="I588" s="257">
        <f>SUMIF(L:L,$L588,M:M)</f>
        <v>18.209999999999997</v>
      </c>
      <c r="J588" s="257">
        <f t="shared" ref="J588:J596" si="88">TRUNC(H588*I588,2)</f>
        <v>18.21</v>
      </c>
      <c r="L588" s="145">
        <f t="shared" si="81"/>
        <v>69</v>
      </c>
      <c r="M588" s="156" t="str">
        <f t="shared" si="82"/>
        <v/>
      </c>
      <c r="N588" s="157" t="str">
        <f t="shared" si="83"/>
        <v/>
      </c>
      <c r="O588" s="157" t="str">
        <f t="shared" si="84"/>
        <v/>
      </c>
      <c r="P588" s="158" t="str">
        <f t="shared" si="85"/>
        <v xml:space="preserve"> 88278 </v>
      </c>
      <c r="Q588" s="157">
        <f>IF(P588&lt;&gt;"",SUMIF(L588:L676,L588,N588:N676),"")</f>
        <v>12.88</v>
      </c>
      <c r="R588" s="157">
        <f>IF(P588&lt;&gt;"",SUMIF(L588:L676,L588,O588:O676),"")</f>
        <v>5.33</v>
      </c>
    </row>
    <row r="589" spans="1:18" ht="15" customHeight="1" x14ac:dyDescent="0.25">
      <c r="A589" s="272" t="s">
        <v>22</v>
      </c>
      <c r="B589" s="261" t="s">
        <v>730</v>
      </c>
      <c r="C589" s="272" t="s">
        <v>10</v>
      </c>
      <c r="D589" s="272" t="s">
        <v>731</v>
      </c>
      <c r="E589" s="363" t="s">
        <v>27</v>
      </c>
      <c r="F589" s="363"/>
      <c r="G589" s="260" t="s">
        <v>28</v>
      </c>
      <c r="H589" s="263">
        <v>1</v>
      </c>
      <c r="I589" s="262">
        <f>SUMIFS(J:J,A:A,"Composição",B:B,$B589)</f>
        <v>0.1</v>
      </c>
      <c r="J589" s="262">
        <f t="shared" si="88"/>
        <v>0.1</v>
      </c>
      <c r="L589" s="145">
        <f t="shared" si="81"/>
        <v>69</v>
      </c>
      <c r="M589" s="156">
        <f t="shared" si="82"/>
        <v>0.1</v>
      </c>
      <c r="N589" s="157" t="str">
        <f t="shared" si="83"/>
        <v/>
      </c>
      <c r="O589" s="157">
        <f t="shared" si="84"/>
        <v>0.1</v>
      </c>
      <c r="P589" s="158" t="str">
        <f t="shared" si="85"/>
        <v/>
      </c>
      <c r="Q589" s="157" t="str">
        <f>IF(P589&lt;&gt;"",SUMIF(L589:L676,L589,N589:N676),"")</f>
        <v/>
      </c>
      <c r="R589" s="157" t="str">
        <f>IF(P589&lt;&gt;"",SUMIF(L589:L676,L589,O589:O676),"")</f>
        <v/>
      </c>
    </row>
    <row r="590" spans="1:18" ht="38.25" customHeight="1" x14ac:dyDescent="0.25">
      <c r="A590" s="273" t="s">
        <v>31</v>
      </c>
      <c r="B590" s="265" t="s">
        <v>90</v>
      </c>
      <c r="C590" s="273" t="str">
        <f>VLOOKUP(B590,INSUMOS!$A:$I,2,FALSE)</f>
        <v>SINAPI</v>
      </c>
      <c r="D590" s="273" t="str">
        <f>VLOOKUP(B590,INSUMOS!$A:$I,3,FALSE)</f>
        <v>ALIMENTACAO - HORISTA (COLETADO CAIXA)</v>
      </c>
      <c r="E590" s="361" t="str">
        <f>VLOOKUP(B590,INSUMOS!$A:$I,4,FALSE)</f>
        <v>Outros</v>
      </c>
      <c r="F590" s="361"/>
      <c r="G590" s="264" t="str">
        <f>VLOOKUP(B590,INSUMOS!$A:$I,5,FALSE)</f>
        <v>H</v>
      </c>
      <c r="H590" s="267">
        <v>1</v>
      </c>
      <c r="I590" s="266">
        <f>VLOOKUP(B590,INSUMOS!$A:$I,8,FALSE)</f>
        <v>2.62</v>
      </c>
      <c r="J590" s="266">
        <f t="shared" si="88"/>
        <v>2.62</v>
      </c>
      <c r="L590" s="145">
        <f t="shared" si="81"/>
        <v>69</v>
      </c>
      <c r="M590" s="156">
        <f t="shared" si="82"/>
        <v>2.62</v>
      </c>
      <c r="N590" s="157" t="str">
        <f t="shared" si="83"/>
        <v/>
      </c>
      <c r="O590" s="157">
        <f t="shared" si="84"/>
        <v>2.62</v>
      </c>
      <c r="P590" s="158" t="str">
        <f t="shared" si="85"/>
        <v/>
      </c>
      <c r="Q590" s="157" t="str">
        <f>IF(P590&lt;&gt;"",SUMIF(L590:L676,L590,N590:N676),"")</f>
        <v/>
      </c>
      <c r="R590" s="157" t="str">
        <f>IF(P590&lt;&gt;"",SUMIF(L590:L676,L590,O590:O676),"")</f>
        <v/>
      </c>
    </row>
    <row r="591" spans="1:18" ht="15" customHeight="1" x14ac:dyDescent="0.25">
      <c r="A591" s="273" t="s">
        <v>31</v>
      </c>
      <c r="B591" s="265" t="s">
        <v>120</v>
      </c>
      <c r="C591" s="273" t="str">
        <f>VLOOKUP(B591,INSUMOS!$A:$I,2,FALSE)</f>
        <v>SINAPI</v>
      </c>
      <c r="D591" s="273" t="str">
        <f>VLOOKUP(B591,INSUMOS!$A:$I,3,FALSE)</f>
        <v>EPI - FAMILIA OPERADOR ESCAVADEIRA - HORISTA (ENCARGOS COMPLEMENTARES - COLETADO CAIXA)</v>
      </c>
      <c r="E591" s="361" t="str">
        <f>VLOOKUP(B591,INSUMOS!$A:$I,4,FALSE)</f>
        <v>Equipamento</v>
      </c>
      <c r="F591" s="361"/>
      <c r="G591" s="264" t="str">
        <f>VLOOKUP(B591,INSUMOS!$A:$I,5,FALSE)</f>
        <v>H</v>
      </c>
      <c r="H591" s="267">
        <v>1</v>
      </c>
      <c r="I591" s="266">
        <f>VLOOKUP(B591,INSUMOS!$A:$I,8,FALSE)</f>
        <v>0.63</v>
      </c>
      <c r="J591" s="266">
        <f t="shared" si="88"/>
        <v>0.63</v>
      </c>
      <c r="L591" s="145">
        <f t="shared" si="81"/>
        <v>69</v>
      </c>
      <c r="M591" s="156">
        <f t="shared" si="82"/>
        <v>0.63</v>
      </c>
      <c r="N591" s="157" t="str">
        <f t="shared" si="83"/>
        <v/>
      </c>
      <c r="O591" s="157">
        <f t="shared" si="84"/>
        <v>0.63</v>
      </c>
      <c r="P591" s="158" t="str">
        <f t="shared" si="85"/>
        <v/>
      </c>
      <c r="Q591" s="157" t="str">
        <f>IF(P591&lt;&gt;"",SUMIF(L591:L676,L591,N591:N676),"")</f>
        <v/>
      </c>
      <c r="R591" s="157" t="str">
        <f>IF(P591&lt;&gt;"",SUMIF(L591:L676,L591,O591:O676),"")</f>
        <v/>
      </c>
    </row>
    <row r="592" spans="1:18" ht="14.25" customHeight="1" x14ac:dyDescent="0.25">
      <c r="A592" s="273" t="s">
        <v>31</v>
      </c>
      <c r="B592" s="265" t="s">
        <v>92</v>
      </c>
      <c r="C592" s="273" t="str">
        <f>VLOOKUP(B592,INSUMOS!$A:$I,2,FALSE)</f>
        <v>SINAPI</v>
      </c>
      <c r="D592" s="273" t="str">
        <f>VLOOKUP(B592,INSUMOS!$A:$I,3,FALSE)</f>
        <v>EXAMES - HORISTA (COLETADO CAIXA)</v>
      </c>
      <c r="E592" s="361" t="str">
        <f>VLOOKUP(B592,INSUMOS!$A:$I,4,FALSE)</f>
        <v>Outros</v>
      </c>
      <c r="F592" s="361"/>
      <c r="G592" s="264" t="str">
        <f>VLOOKUP(B592,INSUMOS!$A:$I,5,FALSE)</f>
        <v>H</v>
      </c>
      <c r="H592" s="267">
        <v>1</v>
      </c>
      <c r="I592" s="266">
        <f>VLOOKUP(B592,INSUMOS!$A:$I,8,FALSE)</f>
        <v>0.55000000000000004</v>
      </c>
      <c r="J592" s="266">
        <f t="shared" si="88"/>
        <v>0.55000000000000004</v>
      </c>
      <c r="L592" s="145">
        <f t="shared" si="81"/>
        <v>69</v>
      </c>
      <c r="M592" s="156">
        <f t="shared" si="82"/>
        <v>0.55000000000000004</v>
      </c>
      <c r="N592" s="157" t="str">
        <f t="shared" si="83"/>
        <v/>
      </c>
      <c r="O592" s="157">
        <f t="shared" si="84"/>
        <v>0.55000000000000004</v>
      </c>
      <c r="P592" s="158" t="str">
        <f t="shared" si="85"/>
        <v/>
      </c>
      <c r="Q592" s="157" t="str">
        <f>IF(P592&lt;&gt;"",SUMIF(L592:L676,L592,N592:N676),"")</f>
        <v/>
      </c>
      <c r="R592" s="157" t="str">
        <f>IF(P592&lt;&gt;"",SUMIF(L592:L676,L592,O592:O676),"")</f>
        <v/>
      </c>
    </row>
    <row r="593" spans="1:18" ht="14.25" customHeight="1" x14ac:dyDescent="0.25">
      <c r="A593" s="273" t="s">
        <v>31</v>
      </c>
      <c r="B593" s="265" t="s">
        <v>121</v>
      </c>
      <c r="C593" s="273" t="str">
        <f>VLOOKUP(B593,INSUMOS!$A:$I,2,FALSE)</f>
        <v>SINAPI</v>
      </c>
      <c r="D593" s="273" t="str">
        <f>VLOOKUP(B593,INSUMOS!$A:$I,3,FALSE)</f>
        <v>FERRAMENTAS - FAMILIA OPERADOR ESCAVADEIRA - HORISTA (ENCARGOS COMPLEMENTARES - COLETADO CAIXA)</v>
      </c>
      <c r="E593" s="361" t="str">
        <f>VLOOKUP(B593,INSUMOS!$A:$I,4,FALSE)</f>
        <v>Equipamento</v>
      </c>
      <c r="F593" s="361"/>
      <c r="G593" s="264" t="str">
        <f>VLOOKUP(B593,INSUMOS!$A:$I,5,FALSE)</f>
        <v>H</v>
      </c>
      <c r="H593" s="267">
        <v>1</v>
      </c>
      <c r="I593" s="266">
        <f>VLOOKUP(B593,INSUMOS!$A:$I,8,FALSE)</f>
        <v>0.01</v>
      </c>
      <c r="J593" s="266">
        <f t="shared" si="88"/>
        <v>0.01</v>
      </c>
      <c r="L593" s="145">
        <f t="shared" ref="L593:L656" si="89">IF(AND(A594&lt;&gt;"",A593=""),L592+1,L592)</f>
        <v>69</v>
      </c>
      <c r="M593" s="156">
        <f t="shared" ref="M593:M656" si="90">IF(OR(A593="Insumo",A593="Composição Auxiliar"),J593,"")</f>
        <v>0.01</v>
      </c>
      <c r="N593" s="157" t="str">
        <f t="shared" ref="N593:N656" si="91">IF(E593="Mão de Obra",J593,"")</f>
        <v/>
      </c>
      <c r="O593" s="157">
        <f t="shared" ref="O593:O656" si="92">IF(N593&lt;&gt;"","",M593)</f>
        <v>0.01</v>
      </c>
      <c r="P593" s="158" t="str">
        <f t="shared" ref="P593:P656" si="93">IF(A593="Composição",B593,"")</f>
        <v/>
      </c>
      <c r="Q593" s="157" t="str">
        <f>IF(P593&lt;&gt;"",SUMIF(L593:L676,L593,N593:N676),"")</f>
        <v/>
      </c>
      <c r="R593" s="157" t="str">
        <f>IF(P593&lt;&gt;"",SUMIF(L593:L676,L593,O593:O676),"")</f>
        <v/>
      </c>
    </row>
    <row r="594" spans="1:18" ht="14.25" customHeight="1" x14ac:dyDescent="0.25">
      <c r="A594" s="273" t="s">
        <v>31</v>
      </c>
      <c r="B594" s="265" t="s">
        <v>576</v>
      </c>
      <c r="C594" s="273" t="str">
        <f>VLOOKUP(B594,INSUMOS!$A:$I,2,FALSE)</f>
        <v>SINAPI</v>
      </c>
      <c r="D594" s="273" t="str">
        <f>VLOOKUP(B594,INSUMOS!$A:$I,3,FALSE)</f>
        <v>MONTADOR DE ESTRUTURAS METALICAS</v>
      </c>
      <c r="E594" s="361" t="str">
        <f>VLOOKUP(B594,INSUMOS!$A:$I,4,FALSE)</f>
        <v>Mão de Obra</v>
      </c>
      <c r="F594" s="361"/>
      <c r="G594" s="264" t="str">
        <f>VLOOKUP(B594,INSUMOS!$A:$I,5,FALSE)</f>
        <v>H</v>
      </c>
      <c r="H594" s="267">
        <v>1</v>
      </c>
      <c r="I594" s="266">
        <f>VLOOKUP(B594,INSUMOS!$A:$I,8,FALSE)</f>
        <v>12.88</v>
      </c>
      <c r="J594" s="266">
        <f t="shared" si="88"/>
        <v>12.88</v>
      </c>
      <c r="L594" s="145">
        <f t="shared" si="89"/>
        <v>69</v>
      </c>
      <c r="M594" s="156">
        <f t="shared" si="90"/>
        <v>12.88</v>
      </c>
      <c r="N594" s="157">
        <f t="shared" si="91"/>
        <v>12.88</v>
      </c>
      <c r="O594" s="157" t="str">
        <f t="shared" si="92"/>
        <v/>
      </c>
      <c r="P594" s="158" t="str">
        <f t="shared" si="93"/>
        <v/>
      </c>
      <c r="Q594" s="157" t="str">
        <f>IF(P594&lt;&gt;"",SUMIF(L594:L676,L594,N594:N676),"")</f>
        <v/>
      </c>
      <c r="R594" s="157" t="str">
        <f>IF(P594&lt;&gt;"",SUMIF(L594:L676,L594,O594:O676),"")</f>
        <v/>
      </c>
    </row>
    <row r="595" spans="1:18" ht="14.25" customHeight="1" x14ac:dyDescent="0.25">
      <c r="A595" s="273" t="s">
        <v>31</v>
      </c>
      <c r="B595" s="265" t="s">
        <v>94</v>
      </c>
      <c r="C595" s="273" t="str">
        <f>VLOOKUP(B595,INSUMOS!$A:$I,2,FALSE)</f>
        <v>SINAPI</v>
      </c>
      <c r="D595" s="273" t="str">
        <f>VLOOKUP(B595,INSUMOS!$A:$I,3,FALSE)</f>
        <v>SEGURO - HORISTA (COLETADO CAIXA)</v>
      </c>
      <c r="E595" s="361" t="str">
        <f>VLOOKUP(B595,INSUMOS!$A:$I,4,FALSE)</f>
        <v>Taxas</v>
      </c>
      <c r="F595" s="361"/>
      <c r="G595" s="264" t="str">
        <f>VLOOKUP(B595,INSUMOS!$A:$I,5,FALSE)</f>
        <v>H</v>
      </c>
      <c r="H595" s="267">
        <v>1</v>
      </c>
      <c r="I595" s="266">
        <f>VLOOKUP(B595,INSUMOS!$A:$I,8,FALSE)</f>
        <v>0.06</v>
      </c>
      <c r="J595" s="266">
        <f t="shared" si="88"/>
        <v>0.06</v>
      </c>
      <c r="L595" s="145">
        <f t="shared" si="89"/>
        <v>69</v>
      </c>
      <c r="M595" s="156">
        <f t="shared" si="90"/>
        <v>0.06</v>
      </c>
      <c r="N595" s="157" t="str">
        <f t="shared" si="91"/>
        <v/>
      </c>
      <c r="O595" s="157">
        <f t="shared" si="92"/>
        <v>0.06</v>
      </c>
      <c r="P595" s="158" t="str">
        <f t="shared" si="93"/>
        <v/>
      </c>
      <c r="Q595" s="157" t="str">
        <f>IF(P595&lt;&gt;"",SUMIF(L595:L676,L595,N595:N676),"")</f>
        <v/>
      </c>
      <c r="R595" s="157" t="str">
        <f>IF(P595&lt;&gt;"",SUMIF(L595:L676,L595,O595:O676),"")</f>
        <v/>
      </c>
    </row>
    <row r="596" spans="1:18" x14ac:dyDescent="0.25">
      <c r="A596" s="273" t="s">
        <v>31</v>
      </c>
      <c r="B596" s="265" t="s">
        <v>95</v>
      </c>
      <c r="C596" s="273" t="str">
        <f>VLOOKUP(B596,INSUMOS!$A:$I,2,FALSE)</f>
        <v>SINAPI</v>
      </c>
      <c r="D596" s="273" t="str">
        <f>VLOOKUP(B596,INSUMOS!$A:$I,3,FALSE)</f>
        <v>TRANSPORTE - HORISTA (COLETADO CAIXA)</v>
      </c>
      <c r="E596" s="361" t="str">
        <f>VLOOKUP(B596,INSUMOS!$A:$I,4,FALSE)</f>
        <v>Serviços</v>
      </c>
      <c r="F596" s="361"/>
      <c r="G596" s="264" t="str">
        <f>VLOOKUP(B596,INSUMOS!$A:$I,5,FALSE)</f>
        <v>H</v>
      </c>
      <c r="H596" s="267">
        <v>1</v>
      </c>
      <c r="I596" s="266">
        <f>VLOOKUP(B596,INSUMOS!$A:$I,8,FALSE)</f>
        <v>1.36</v>
      </c>
      <c r="J596" s="266">
        <f t="shared" si="88"/>
        <v>1.36</v>
      </c>
      <c r="L596" s="145">
        <f t="shared" si="89"/>
        <v>69</v>
      </c>
      <c r="M596" s="156">
        <f t="shared" si="90"/>
        <v>1.36</v>
      </c>
      <c r="N596" s="157" t="str">
        <f t="shared" si="91"/>
        <v/>
      </c>
      <c r="O596" s="157">
        <f t="shared" si="92"/>
        <v>1.36</v>
      </c>
      <c r="P596" s="158" t="str">
        <f t="shared" si="93"/>
        <v/>
      </c>
      <c r="Q596" s="157" t="str">
        <f>IF(P596&lt;&gt;"",SUMIF(L596:L676,L596,N596:N676),"")</f>
        <v/>
      </c>
      <c r="R596" s="157" t="str">
        <f>IF(P596&lt;&gt;"",SUMIF(L596:L676,L596,O596:O676),"")</f>
        <v/>
      </c>
    </row>
    <row r="597" spans="1:18" ht="15" customHeight="1" x14ac:dyDescent="0.25">
      <c r="A597" s="274"/>
      <c r="B597" s="274"/>
      <c r="C597" s="274"/>
      <c r="D597" s="274"/>
      <c r="E597" s="274"/>
      <c r="F597" s="268"/>
      <c r="G597" s="274"/>
      <c r="H597" s="268"/>
      <c r="I597" s="274"/>
      <c r="J597" s="268"/>
      <c r="L597" s="145">
        <f t="shared" si="89"/>
        <v>69</v>
      </c>
      <c r="M597" s="156" t="str">
        <f t="shared" si="90"/>
        <v/>
      </c>
      <c r="N597" s="157" t="str">
        <f t="shared" si="91"/>
        <v/>
      </c>
      <c r="O597" s="157" t="str">
        <f t="shared" si="92"/>
        <v/>
      </c>
      <c r="P597" s="158" t="str">
        <f t="shared" si="93"/>
        <v/>
      </c>
      <c r="Q597" s="157" t="str">
        <f>IF(P597&lt;&gt;"",SUMIF(L597:L676,L597,N597:N676),"")</f>
        <v/>
      </c>
      <c r="R597" s="157" t="str">
        <f>IF(P597&lt;&gt;"",SUMIF(L597:L676,L597,O597:O676),"")</f>
        <v/>
      </c>
    </row>
    <row r="598" spans="1:18" ht="14.4" thickBot="1" x14ac:dyDescent="0.3">
      <c r="A598" s="274"/>
      <c r="B598" s="274"/>
      <c r="C598" s="274"/>
      <c r="D598" s="274"/>
      <c r="E598" s="274"/>
      <c r="F598" s="268"/>
      <c r="G598" s="274"/>
      <c r="H598" s="350"/>
      <c r="I598" s="350"/>
      <c r="J598" s="268"/>
      <c r="L598" s="145">
        <f t="shared" si="89"/>
        <v>69</v>
      </c>
      <c r="M598" s="156" t="str">
        <f t="shared" si="90"/>
        <v/>
      </c>
      <c r="N598" s="157" t="str">
        <f t="shared" si="91"/>
        <v/>
      </c>
      <c r="O598" s="157" t="str">
        <f t="shared" si="92"/>
        <v/>
      </c>
      <c r="P598" s="158" t="str">
        <f t="shared" si="93"/>
        <v/>
      </c>
      <c r="Q598" s="157" t="str">
        <f>IF(P598&lt;&gt;"",SUMIF(L598:L676,L598,N598:N676),"")</f>
        <v/>
      </c>
      <c r="R598" s="157" t="str">
        <f>IF(P598&lt;&gt;"",SUMIF(L598:L676,L598,O598:O676),"")</f>
        <v/>
      </c>
    </row>
    <row r="599" spans="1:18" ht="14.4" thickTop="1" x14ac:dyDescent="0.25">
      <c r="A599" s="259"/>
      <c r="B599" s="259"/>
      <c r="C599" s="259"/>
      <c r="D599" s="259"/>
      <c r="E599" s="259"/>
      <c r="F599" s="259"/>
      <c r="G599" s="259"/>
      <c r="H599" s="259"/>
      <c r="I599" s="259"/>
      <c r="J599" s="259"/>
      <c r="L599" s="145">
        <f t="shared" si="89"/>
        <v>69</v>
      </c>
      <c r="M599" s="156" t="str">
        <f t="shared" si="90"/>
        <v/>
      </c>
      <c r="N599" s="157" t="str">
        <f t="shared" si="91"/>
        <v/>
      </c>
      <c r="O599" s="157" t="str">
        <f t="shared" si="92"/>
        <v/>
      </c>
      <c r="P599" s="158" t="str">
        <f t="shared" si="93"/>
        <v/>
      </c>
      <c r="Q599" s="157" t="str">
        <f>IF(P599&lt;&gt;"",SUMIF(L599:L676,L599,N599:N676),"")</f>
        <v/>
      </c>
      <c r="R599" s="157" t="str">
        <f>IF(P599&lt;&gt;"",SUMIF(L599:L676,L599,O599:O676),"")</f>
        <v/>
      </c>
    </row>
    <row r="600" spans="1:18" ht="38.25" customHeight="1" x14ac:dyDescent="0.25">
      <c r="A600" s="270"/>
      <c r="B600" s="254" t="s">
        <v>1</v>
      </c>
      <c r="C600" s="270" t="s">
        <v>2</v>
      </c>
      <c r="D600" s="270" t="s">
        <v>3</v>
      </c>
      <c r="E600" s="347" t="s">
        <v>19</v>
      </c>
      <c r="F600" s="347"/>
      <c r="G600" s="253" t="s">
        <v>4</v>
      </c>
      <c r="H600" s="254" t="s">
        <v>5</v>
      </c>
      <c r="I600" s="254" t="s">
        <v>6</v>
      </c>
      <c r="J600" s="254" t="s">
        <v>7</v>
      </c>
      <c r="L600" s="145">
        <f t="shared" si="89"/>
        <v>70</v>
      </c>
      <c r="M600" s="156" t="str">
        <f t="shared" si="90"/>
        <v/>
      </c>
      <c r="N600" s="157" t="str">
        <f t="shared" si="91"/>
        <v/>
      </c>
      <c r="O600" s="157" t="str">
        <f t="shared" si="92"/>
        <v/>
      </c>
      <c r="P600" s="158" t="str">
        <f t="shared" si="93"/>
        <v/>
      </c>
      <c r="Q600" s="157" t="str">
        <f>IF(P600&lt;&gt;"",SUMIF(L600:L676,L600,N600:N676),"")</f>
        <v/>
      </c>
      <c r="R600" s="157" t="str">
        <f>IF(P600&lt;&gt;"",SUMIF(L600:L676,L600,O600:O676),"")</f>
        <v/>
      </c>
    </row>
    <row r="601" spans="1:18" ht="26.4" x14ac:dyDescent="0.25">
      <c r="A601" s="271" t="s">
        <v>20</v>
      </c>
      <c r="B601" s="256" t="s">
        <v>663</v>
      </c>
      <c r="C601" s="271" t="s">
        <v>10</v>
      </c>
      <c r="D601" s="271" t="s">
        <v>664</v>
      </c>
      <c r="E601" s="362" t="s">
        <v>27</v>
      </c>
      <c r="F601" s="362"/>
      <c r="G601" s="255" t="s">
        <v>28</v>
      </c>
      <c r="H601" s="258">
        <v>1</v>
      </c>
      <c r="I601" s="257">
        <f>SUMIF(L:L,$L601,M:M)</f>
        <v>18.669999999999998</v>
      </c>
      <c r="J601" s="257">
        <f t="shared" ref="J601:J609" si="94">TRUNC(H601*I601,2)</f>
        <v>18.670000000000002</v>
      </c>
      <c r="L601" s="145">
        <f t="shared" si="89"/>
        <v>70</v>
      </c>
      <c r="M601" s="156" t="str">
        <f t="shared" si="90"/>
        <v/>
      </c>
      <c r="N601" s="157" t="str">
        <f t="shared" si="91"/>
        <v/>
      </c>
      <c r="O601" s="157" t="str">
        <f t="shared" si="92"/>
        <v/>
      </c>
      <c r="P601" s="158" t="str">
        <f t="shared" si="93"/>
        <v xml:space="preserve"> 88286 </v>
      </c>
      <c r="Q601" s="157">
        <f>IF(P601&lt;&gt;"",SUMIF(L601:L676,L601,N601:N676),"")</f>
        <v>13.29</v>
      </c>
      <c r="R601" s="157">
        <f>IF(P601&lt;&gt;"",SUMIF(L601:L676,L601,O601:O676),"")</f>
        <v>5.38</v>
      </c>
    </row>
    <row r="602" spans="1:18" ht="15" customHeight="1" x14ac:dyDescent="0.25">
      <c r="A602" s="272" t="s">
        <v>22</v>
      </c>
      <c r="B602" s="261" t="s">
        <v>732</v>
      </c>
      <c r="C602" s="272" t="s">
        <v>10</v>
      </c>
      <c r="D602" s="272" t="s">
        <v>733</v>
      </c>
      <c r="E602" s="363" t="s">
        <v>27</v>
      </c>
      <c r="F602" s="363"/>
      <c r="G602" s="260" t="s">
        <v>28</v>
      </c>
      <c r="H602" s="263">
        <v>1</v>
      </c>
      <c r="I602" s="262">
        <f>SUMIFS(J:J,A:A,"Composição",B:B,$B602)</f>
        <v>0.15</v>
      </c>
      <c r="J602" s="262">
        <f t="shared" si="94"/>
        <v>0.15</v>
      </c>
      <c r="L602" s="145">
        <f t="shared" si="89"/>
        <v>70</v>
      </c>
      <c r="M602" s="156">
        <f t="shared" si="90"/>
        <v>0.15</v>
      </c>
      <c r="N602" s="157" t="str">
        <f t="shared" si="91"/>
        <v/>
      </c>
      <c r="O602" s="157">
        <f t="shared" si="92"/>
        <v>0.15</v>
      </c>
      <c r="P602" s="158" t="str">
        <f t="shared" si="93"/>
        <v/>
      </c>
      <c r="Q602" s="157" t="str">
        <f>IF(P602&lt;&gt;"",SUMIF(L602:L676,L602,N602:N676),"")</f>
        <v/>
      </c>
      <c r="R602" s="157" t="str">
        <f>IF(P602&lt;&gt;"",SUMIF(L602:L676,L602,O602:O676),"")</f>
        <v/>
      </c>
    </row>
    <row r="603" spans="1:18" ht="14.25" customHeight="1" x14ac:dyDescent="0.25">
      <c r="A603" s="273" t="s">
        <v>31</v>
      </c>
      <c r="B603" s="265" t="s">
        <v>90</v>
      </c>
      <c r="C603" s="273" t="str">
        <f>VLOOKUP(B603,INSUMOS!$A:$I,2,FALSE)</f>
        <v>SINAPI</v>
      </c>
      <c r="D603" s="273" t="str">
        <f>VLOOKUP(B603,INSUMOS!$A:$I,3,FALSE)</f>
        <v>ALIMENTACAO - HORISTA (COLETADO CAIXA)</v>
      </c>
      <c r="E603" s="361" t="str">
        <f>VLOOKUP(B603,INSUMOS!$A:$I,4,FALSE)</f>
        <v>Outros</v>
      </c>
      <c r="F603" s="361"/>
      <c r="G603" s="264" t="str">
        <f>VLOOKUP(B603,INSUMOS!$A:$I,5,FALSE)</f>
        <v>H</v>
      </c>
      <c r="H603" s="267">
        <v>1</v>
      </c>
      <c r="I603" s="266">
        <f>VLOOKUP(B603,INSUMOS!$A:$I,8,FALSE)</f>
        <v>2.62</v>
      </c>
      <c r="J603" s="266">
        <f t="shared" si="94"/>
        <v>2.62</v>
      </c>
      <c r="L603" s="145">
        <f t="shared" si="89"/>
        <v>70</v>
      </c>
      <c r="M603" s="156">
        <f t="shared" si="90"/>
        <v>2.62</v>
      </c>
      <c r="N603" s="157" t="str">
        <f t="shared" si="91"/>
        <v/>
      </c>
      <c r="O603" s="157">
        <f t="shared" si="92"/>
        <v>2.62</v>
      </c>
      <c r="P603" s="158" t="str">
        <f t="shared" si="93"/>
        <v/>
      </c>
      <c r="Q603" s="157" t="str">
        <f>IF(P603&lt;&gt;"",SUMIF(L603:L676,L603,N603:N676),"")</f>
        <v/>
      </c>
      <c r="R603" s="157" t="str">
        <f>IF(P603&lt;&gt;"",SUMIF(L603:L676,L603,O603:O676),"")</f>
        <v/>
      </c>
    </row>
    <row r="604" spans="1:18" ht="26.4" x14ac:dyDescent="0.25">
      <c r="A604" s="273" t="s">
        <v>31</v>
      </c>
      <c r="B604" s="265" t="s">
        <v>120</v>
      </c>
      <c r="C604" s="273" t="str">
        <f>VLOOKUP(B604,INSUMOS!$A:$I,2,FALSE)</f>
        <v>SINAPI</v>
      </c>
      <c r="D604" s="273" t="str">
        <f>VLOOKUP(B604,INSUMOS!$A:$I,3,FALSE)</f>
        <v>EPI - FAMILIA OPERADOR ESCAVADEIRA - HORISTA (ENCARGOS COMPLEMENTARES - COLETADO CAIXA)</v>
      </c>
      <c r="E604" s="361" t="str">
        <f>VLOOKUP(B604,INSUMOS!$A:$I,4,FALSE)</f>
        <v>Equipamento</v>
      </c>
      <c r="F604" s="361"/>
      <c r="G604" s="264" t="str">
        <f>VLOOKUP(B604,INSUMOS!$A:$I,5,FALSE)</f>
        <v>H</v>
      </c>
      <c r="H604" s="267">
        <v>1</v>
      </c>
      <c r="I604" s="266">
        <f>VLOOKUP(B604,INSUMOS!$A:$I,8,FALSE)</f>
        <v>0.63</v>
      </c>
      <c r="J604" s="266">
        <f t="shared" si="94"/>
        <v>0.63</v>
      </c>
      <c r="L604" s="145">
        <f t="shared" si="89"/>
        <v>70</v>
      </c>
      <c r="M604" s="156">
        <f t="shared" si="90"/>
        <v>0.63</v>
      </c>
      <c r="N604" s="157" t="str">
        <f t="shared" si="91"/>
        <v/>
      </c>
      <c r="O604" s="157">
        <f t="shared" si="92"/>
        <v>0.63</v>
      </c>
      <c r="P604" s="158" t="str">
        <f t="shared" si="93"/>
        <v/>
      </c>
      <c r="Q604" s="157" t="str">
        <f>IF(P604&lt;&gt;"",SUMIF(L604:L676,L604,N604:N676),"")</f>
        <v/>
      </c>
      <c r="R604" s="157" t="str">
        <f>IF(P604&lt;&gt;"",SUMIF(L604:L676,L604,O604:O676),"")</f>
        <v/>
      </c>
    </row>
    <row r="605" spans="1:18" ht="14.25" customHeight="1" x14ac:dyDescent="0.25">
      <c r="A605" s="273" t="s">
        <v>31</v>
      </c>
      <c r="B605" s="265" t="s">
        <v>92</v>
      </c>
      <c r="C605" s="273" t="str">
        <f>VLOOKUP(B605,INSUMOS!$A:$I,2,FALSE)</f>
        <v>SINAPI</v>
      </c>
      <c r="D605" s="273" t="str">
        <f>VLOOKUP(B605,INSUMOS!$A:$I,3,FALSE)</f>
        <v>EXAMES - HORISTA (COLETADO CAIXA)</v>
      </c>
      <c r="E605" s="361" t="str">
        <f>VLOOKUP(B605,INSUMOS!$A:$I,4,FALSE)</f>
        <v>Outros</v>
      </c>
      <c r="F605" s="361"/>
      <c r="G605" s="264" t="str">
        <f>VLOOKUP(B605,INSUMOS!$A:$I,5,FALSE)</f>
        <v>H</v>
      </c>
      <c r="H605" s="267">
        <v>1</v>
      </c>
      <c r="I605" s="266">
        <f>VLOOKUP(B605,INSUMOS!$A:$I,8,FALSE)</f>
        <v>0.55000000000000004</v>
      </c>
      <c r="J605" s="266">
        <f t="shared" si="94"/>
        <v>0.55000000000000004</v>
      </c>
      <c r="L605" s="145">
        <f t="shared" si="89"/>
        <v>70</v>
      </c>
      <c r="M605" s="156">
        <f t="shared" si="90"/>
        <v>0.55000000000000004</v>
      </c>
      <c r="N605" s="157" t="str">
        <f t="shared" si="91"/>
        <v/>
      </c>
      <c r="O605" s="157">
        <f t="shared" si="92"/>
        <v>0.55000000000000004</v>
      </c>
      <c r="P605" s="158" t="str">
        <f t="shared" si="93"/>
        <v/>
      </c>
      <c r="Q605" s="157" t="str">
        <f>IF(P605&lt;&gt;"",SUMIF(L605:L676,L605,N605:N676),"")</f>
        <v/>
      </c>
      <c r="R605" s="157" t="str">
        <f>IF(P605&lt;&gt;"",SUMIF(L605:L676,L605,O605:O676),"")</f>
        <v/>
      </c>
    </row>
    <row r="606" spans="1:18" ht="14.25" customHeight="1" x14ac:dyDescent="0.25">
      <c r="A606" s="273" t="s">
        <v>31</v>
      </c>
      <c r="B606" s="265" t="s">
        <v>121</v>
      </c>
      <c r="C606" s="273" t="str">
        <f>VLOOKUP(B606,INSUMOS!$A:$I,2,FALSE)</f>
        <v>SINAPI</v>
      </c>
      <c r="D606" s="273" t="str">
        <f>VLOOKUP(B606,INSUMOS!$A:$I,3,FALSE)</f>
        <v>FERRAMENTAS - FAMILIA OPERADOR ESCAVADEIRA - HORISTA (ENCARGOS COMPLEMENTARES - COLETADO CAIXA)</v>
      </c>
      <c r="E606" s="361" t="str">
        <f>VLOOKUP(B606,INSUMOS!$A:$I,4,FALSE)</f>
        <v>Equipamento</v>
      </c>
      <c r="F606" s="361"/>
      <c r="G606" s="264" t="str">
        <f>VLOOKUP(B606,INSUMOS!$A:$I,5,FALSE)</f>
        <v>H</v>
      </c>
      <c r="H606" s="267">
        <v>1</v>
      </c>
      <c r="I606" s="266">
        <f>VLOOKUP(B606,INSUMOS!$A:$I,8,FALSE)</f>
        <v>0.01</v>
      </c>
      <c r="J606" s="266">
        <f t="shared" si="94"/>
        <v>0.01</v>
      </c>
      <c r="L606" s="145">
        <f t="shared" si="89"/>
        <v>70</v>
      </c>
      <c r="M606" s="156">
        <f t="shared" si="90"/>
        <v>0.01</v>
      </c>
      <c r="N606" s="157" t="str">
        <f t="shared" si="91"/>
        <v/>
      </c>
      <c r="O606" s="157">
        <f t="shared" si="92"/>
        <v>0.01</v>
      </c>
      <c r="P606" s="158" t="str">
        <f t="shared" si="93"/>
        <v/>
      </c>
      <c r="Q606" s="157" t="str">
        <f>IF(P606&lt;&gt;"",SUMIF(L606:L676,L606,N606:N676),"")</f>
        <v/>
      </c>
      <c r="R606" s="157" t="str">
        <f>IF(P606&lt;&gt;"",SUMIF(L606:L676,L606,O606:O676),"")</f>
        <v/>
      </c>
    </row>
    <row r="607" spans="1:18" ht="15" customHeight="1" x14ac:dyDescent="0.25">
      <c r="A607" s="273" t="s">
        <v>31</v>
      </c>
      <c r="B607" s="265" t="s">
        <v>451</v>
      </c>
      <c r="C607" s="273" t="str">
        <f>VLOOKUP(B607,INSUMOS!$A:$I,2,FALSE)</f>
        <v>SINAPI</v>
      </c>
      <c r="D607" s="273" t="str">
        <f>VLOOKUP(B607,INSUMOS!$A:$I,3,FALSE)</f>
        <v>MOTORISTA OPERADOR DE CAMINHAO COM MUNCK</v>
      </c>
      <c r="E607" s="361" t="str">
        <f>VLOOKUP(B607,INSUMOS!$A:$I,4,FALSE)</f>
        <v>Mão de Obra</v>
      </c>
      <c r="F607" s="361"/>
      <c r="G607" s="264" t="str">
        <f>VLOOKUP(B607,INSUMOS!$A:$I,5,FALSE)</f>
        <v>H</v>
      </c>
      <c r="H607" s="267">
        <v>1</v>
      </c>
      <c r="I607" s="266">
        <f>VLOOKUP(B607,INSUMOS!$A:$I,8,FALSE)</f>
        <v>13.29</v>
      </c>
      <c r="J607" s="266">
        <f t="shared" si="94"/>
        <v>13.29</v>
      </c>
      <c r="L607" s="145">
        <f t="shared" si="89"/>
        <v>70</v>
      </c>
      <c r="M607" s="156">
        <f t="shared" si="90"/>
        <v>13.29</v>
      </c>
      <c r="N607" s="157">
        <f t="shared" si="91"/>
        <v>13.29</v>
      </c>
      <c r="O607" s="157" t="str">
        <f t="shared" si="92"/>
        <v/>
      </c>
      <c r="P607" s="158" t="str">
        <f t="shared" si="93"/>
        <v/>
      </c>
      <c r="Q607" s="157" t="str">
        <f>IF(P607&lt;&gt;"",SUMIF(L607:L676,L607,N607:N676),"")</f>
        <v/>
      </c>
      <c r="R607" s="157" t="str">
        <f>IF(P607&lt;&gt;"",SUMIF(L607:L676,L607,O607:O676),"")</f>
        <v/>
      </c>
    </row>
    <row r="608" spans="1:18" ht="38.25" customHeight="1" x14ac:dyDescent="0.25">
      <c r="A608" s="273" t="s">
        <v>31</v>
      </c>
      <c r="B608" s="265" t="s">
        <v>94</v>
      </c>
      <c r="C608" s="273" t="str">
        <f>VLOOKUP(B608,INSUMOS!$A:$I,2,FALSE)</f>
        <v>SINAPI</v>
      </c>
      <c r="D608" s="273" t="str">
        <f>VLOOKUP(B608,INSUMOS!$A:$I,3,FALSE)</f>
        <v>SEGURO - HORISTA (COLETADO CAIXA)</v>
      </c>
      <c r="E608" s="361" t="str">
        <f>VLOOKUP(B608,INSUMOS!$A:$I,4,FALSE)</f>
        <v>Taxas</v>
      </c>
      <c r="F608" s="361"/>
      <c r="G608" s="264" t="str">
        <f>VLOOKUP(B608,INSUMOS!$A:$I,5,FALSE)</f>
        <v>H</v>
      </c>
      <c r="H608" s="267">
        <v>1</v>
      </c>
      <c r="I608" s="266">
        <f>VLOOKUP(B608,INSUMOS!$A:$I,8,FALSE)</f>
        <v>0.06</v>
      </c>
      <c r="J608" s="266">
        <f t="shared" si="94"/>
        <v>0.06</v>
      </c>
      <c r="L608" s="145">
        <f t="shared" si="89"/>
        <v>70</v>
      </c>
      <c r="M608" s="156">
        <f t="shared" si="90"/>
        <v>0.06</v>
      </c>
      <c r="N608" s="157" t="str">
        <f t="shared" si="91"/>
        <v/>
      </c>
      <c r="O608" s="157">
        <f t="shared" si="92"/>
        <v>0.06</v>
      </c>
      <c r="P608" s="158" t="str">
        <f t="shared" si="93"/>
        <v/>
      </c>
      <c r="Q608" s="157" t="str">
        <f>IF(P608&lt;&gt;"",SUMIF(L608:L676,L608,N608:N676),"")</f>
        <v/>
      </c>
      <c r="R608" s="157" t="str">
        <f>IF(P608&lt;&gt;"",SUMIF(L608:L676,L608,O608:O676),"")</f>
        <v/>
      </c>
    </row>
    <row r="609" spans="1:18" ht="38.25" customHeight="1" x14ac:dyDescent="0.25">
      <c r="A609" s="273" t="s">
        <v>31</v>
      </c>
      <c r="B609" s="265" t="s">
        <v>95</v>
      </c>
      <c r="C609" s="273" t="str">
        <f>VLOOKUP(B609,INSUMOS!$A:$I,2,FALSE)</f>
        <v>SINAPI</v>
      </c>
      <c r="D609" s="273" t="str">
        <f>VLOOKUP(B609,INSUMOS!$A:$I,3,FALSE)</f>
        <v>TRANSPORTE - HORISTA (COLETADO CAIXA)</v>
      </c>
      <c r="E609" s="361" t="str">
        <f>VLOOKUP(B609,INSUMOS!$A:$I,4,FALSE)</f>
        <v>Serviços</v>
      </c>
      <c r="F609" s="361"/>
      <c r="G609" s="264" t="str">
        <f>VLOOKUP(B609,INSUMOS!$A:$I,5,FALSE)</f>
        <v>H</v>
      </c>
      <c r="H609" s="267">
        <v>1</v>
      </c>
      <c r="I609" s="266">
        <f>VLOOKUP(B609,INSUMOS!$A:$I,8,FALSE)</f>
        <v>1.36</v>
      </c>
      <c r="J609" s="266">
        <f t="shared" si="94"/>
        <v>1.36</v>
      </c>
      <c r="L609" s="145">
        <f t="shared" si="89"/>
        <v>70</v>
      </c>
      <c r="M609" s="156">
        <f t="shared" si="90"/>
        <v>1.36</v>
      </c>
      <c r="N609" s="157" t="str">
        <f t="shared" si="91"/>
        <v/>
      </c>
      <c r="O609" s="157">
        <f t="shared" si="92"/>
        <v>1.36</v>
      </c>
      <c r="P609" s="158" t="str">
        <f t="shared" si="93"/>
        <v/>
      </c>
      <c r="Q609" s="157" t="str">
        <f>IF(P609&lt;&gt;"",SUMIF(L609:L676,L609,N609:N676),"")</f>
        <v/>
      </c>
      <c r="R609" s="157" t="str">
        <f>IF(P609&lt;&gt;"",SUMIF(L609:L676,L609,O609:O676),"")</f>
        <v/>
      </c>
    </row>
    <row r="610" spans="1:18" ht="25.5" customHeight="1" x14ac:dyDescent="0.25">
      <c r="A610" s="274"/>
      <c r="B610" s="274"/>
      <c r="C610" s="274"/>
      <c r="D610" s="274"/>
      <c r="E610" s="274"/>
      <c r="F610" s="268"/>
      <c r="G610" s="274"/>
      <c r="H610" s="268"/>
      <c r="I610" s="274"/>
      <c r="J610" s="268"/>
      <c r="L610" s="145">
        <f t="shared" si="89"/>
        <v>70</v>
      </c>
      <c r="M610" s="156" t="str">
        <f t="shared" si="90"/>
        <v/>
      </c>
      <c r="N610" s="157" t="str">
        <f t="shared" si="91"/>
        <v/>
      </c>
      <c r="O610" s="157" t="str">
        <f t="shared" si="92"/>
        <v/>
      </c>
      <c r="P610" s="158" t="str">
        <f t="shared" si="93"/>
        <v/>
      </c>
      <c r="Q610" s="157" t="str">
        <f>IF(P610&lt;&gt;"",SUMIF(L610:L676,L610,N610:N676),"")</f>
        <v/>
      </c>
      <c r="R610" s="157" t="str">
        <f>IF(P610&lt;&gt;"",SUMIF(L610:L676,L610,O610:O676),"")</f>
        <v/>
      </c>
    </row>
    <row r="611" spans="1:18" ht="14.4" thickBot="1" x14ac:dyDescent="0.3">
      <c r="A611" s="274"/>
      <c r="B611" s="274"/>
      <c r="C611" s="274"/>
      <c r="D611" s="274"/>
      <c r="E611" s="274"/>
      <c r="F611" s="268"/>
      <c r="G611" s="274"/>
      <c r="H611" s="350"/>
      <c r="I611" s="350"/>
      <c r="J611" s="268"/>
      <c r="L611" s="145">
        <f t="shared" si="89"/>
        <v>70</v>
      </c>
      <c r="M611" s="156" t="str">
        <f t="shared" si="90"/>
        <v/>
      </c>
      <c r="N611" s="157" t="str">
        <f t="shared" si="91"/>
        <v/>
      </c>
      <c r="O611" s="157" t="str">
        <f t="shared" si="92"/>
        <v/>
      </c>
      <c r="P611" s="158" t="str">
        <f t="shared" si="93"/>
        <v/>
      </c>
      <c r="Q611" s="157" t="str">
        <f>IF(P611&lt;&gt;"",SUMIF(L611:L676,L611,N611:N676),"")</f>
        <v/>
      </c>
      <c r="R611" s="157" t="str">
        <f>IF(P611&lt;&gt;"",SUMIF(L611:L676,L611,O611:O676),"")</f>
        <v/>
      </c>
    </row>
    <row r="612" spans="1:18" ht="14.4" thickTop="1" x14ac:dyDescent="0.25">
      <c r="A612" s="259"/>
      <c r="B612" s="259"/>
      <c r="C612" s="259"/>
      <c r="D612" s="259"/>
      <c r="E612" s="259"/>
      <c r="F612" s="259"/>
      <c r="G612" s="259"/>
      <c r="H612" s="259"/>
      <c r="I612" s="259"/>
      <c r="J612" s="259"/>
      <c r="L612" s="145">
        <f t="shared" si="89"/>
        <v>70</v>
      </c>
      <c r="M612" s="156" t="str">
        <f t="shared" si="90"/>
        <v/>
      </c>
      <c r="N612" s="157" t="str">
        <f t="shared" si="91"/>
        <v/>
      </c>
      <c r="O612" s="157" t="str">
        <f t="shared" si="92"/>
        <v/>
      </c>
      <c r="P612" s="158" t="str">
        <f t="shared" si="93"/>
        <v/>
      </c>
      <c r="Q612" s="157" t="str">
        <f>IF(P612&lt;&gt;"",SUMIF(L612:L676,L612,N612:N676),"")</f>
        <v/>
      </c>
      <c r="R612" s="157" t="str">
        <f>IF(P612&lt;&gt;"",SUMIF(L612:L676,L612,O612:O676),"")</f>
        <v/>
      </c>
    </row>
    <row r="613" spans="1:18" x14ac:dyDescent="0.25">
      <c r="A613" s="270"/>
      <c r="B613" s="254" t="s">
        <v>1</v>
      </c>
      <c r="C613" s="270" t="s">
        <v>2</v>
      </c>
      <c r="D613" s="270" t="s">
        <v>3</v>
      </c>
      <c r="E613" s="347" t="s">
        <v>19</v>
      </c>
      <c r="F613" s="347"/>
      <c r="G613" s="253" t="s">
        <v>4</v>
      </c>
      <c r="H613" s="254" t="s">
        <v>5</v>
      </c>
      <c r="I613" s="254" t="s">
        <v>6</v>
      </c>
      <c r="J613" s="254" t="s">
        <v>7</v>
      </c>
      <c r="L613" s="145">
        <f t="shared" si="89"/>
        <v>71</v>
      </c>
      <c r="M613" s="156" t="str">
        <f t="shared" si="90"/>
        <v/>
      </c>
      <c r="N613" s="157" t="str">
        <f t="shared" si="91"/>
        <v/>
      </c>
      <c r="O613" s="157" t="str">
        <f t="shared" si="92"/>
        <v/>
      </c>
      <c r="P613" s="158" t="str">
        <f t="shared" si="93"/>
        <v/>
      </c>
      <c r="Q613" s="157" t="str">
        <f>IF(P613&lt;&gt;"",SUMIF(L613:L676,L613,N613:N676),"")</f>
        <v/>
      </c>
      <c r="R613" s="157" t="str">
        <f>IF(P613&lt;&gt;"",SUMIF(L613:L676,L613,O613:O676),"")</f>
        <v/>
      </c>
    </row>
    <row r="614" spans="1:18" ht="26.4" x14ac:dyDescent="0.25">
      <c r="A614" s="271" t="s">
        <v>20</v>
      </c>
      <c r="B614" s="256" t="s">
        <v>96</v>
      </c>
      <c r="C614" s="271" t="s">
        <v>10</v>
      </c>
      <c r="D614" s="271" t="s">
        <v>80</v>
      </c>
      <c r="E614" s="362" t="s">
        <v>27</v>
      </c>
      <c r="F614" s="362"/>
      <c r="G614" s="255" t="s">
        <v>28</v>
      </c>
      <c r="H614" s="258">
        <v>1</v>
      </c>
      <c r="I614" s="257">
        <f>SUMIF(L:L,$L614,M:M)</f>
        <v>17.819999999999997</v>
      </c>
      <c r="J614" s="257">
        <f t="shared" ref="J614:J622" si="95">TRUNC(H614*I614,2)</f>
        <v>17.82</v>
      </c>
      <c r="L614" s="145">
        <f t="shared" si="89"/>
        <v>71</v>
      </c>
      <c r="M614" s="156" t="str">
        <f t="shared" si="90"/>
        <v/>
      </c>
      <c r="N614" s="157" t="str">
        <f t="shared" si="91"/>
        <v/>
      </c>
      <c r="O614" s="157" t="str">
        <f t="shared" si="92"/>
        <v/>
      </c>
      <c r="P614" s="158" t="str">
        <f t="shared" si="93"/>
        <v xml:space="preserve"> 88377 </v>
      </c>
      <c r="Q614" s="157">
        <f>IF(P614&lt;&gt;"",SUMIF(L614:L676,L614,N614:N676),"")</f>
        <v>12.52</v>
      </c>
      <c r="R614" s="157">
        <f>IF(P614&lt;&gt;"",SUMIF(L614:L676,L614,O614:O676),"")</f>
        <v>5.3</v>
      </c>
    </row>
    <row r="615" spans="1:18" ht="15" customHeight="1" x14ac:dyDescent="0.25">
      <c r="A615" s="272" t="s">
        <v>22</v>
      </c>
      <c r="B615" s="261" t="s">
        <v>112</v>
      </c>
      <c r="C615" s="272" t="s">
        <v>10</v>
      </c>
      <c r="D615" s="272" t="s">
        <v>79</v>
      </c>
      <c r="E615" s="363" t="s">
        <v>27</v>
      </c>
      <c r="F615" s="363"/>
      <c r="G615" s="260" t="s">
        <v>28</v>
      </c>
      <c r="H615" s="263">
        <v>1</v>
      </c>
      <c r="I615" s="262">
        <f>SUMIFS(J:J,A:A,"Composição",B:B,$B615)</f>
        <v>7.0000000000000007E-2</v>
      </c>
      <c r="J615" s="262">
        <f t="shared" si="95"/>
        <v>7.0000000000000007E-2</v>
      </c>
      <c r="L615" s="145">
        <f t="shared" si="89"/>
        <v>71</v>
      </c>
      <c r="M615" s="156">
        <f t="shared" si="90"/>
        <v>7.0000000000000007E-2</v>
      </c>
      <c r="N615" s="157" t="str">
        <f t="shared" si="91"/>
        <v/>
      </c>
      <c r="O615" s="157">
        <f t="shared" si="92"/>
        <v>7.0000000000000007E-2</v>
      </c>
      <c r="P615" s="158" t="str">
        <f t="shared" si="93"/>
        <v/>
      </c>
      <c r="Q615" s="157" t="str">
        <f>IF(P615&lt;&gt;"",SUMIF(L615:L676,L615,N615:N676),"")</f>
        <v/>
      </c>
      <c r="R615" s="157" t="str">
        <f>IF(P615&lt;&gt;"",SUMIF(L615:L676,L615,O615:O676),"")</f>
        <v/>
      </c>
    </row>
    <row r="616" spans="1:18" ht="14.25" customHeight="1" x14ac:dyDescent="0.25">
      <c r="A616" s="273" t="s">
        <v>31</v>
      </c>
      <c r="B616" s="265" t="s">
        <v>90</v>
      </c>
      <c r="C616" s="273" t="str">
        <f>VLOOKUP(B616,INSUMOS!$A:$I,2,FALSE)</f>
        <v>SINAPI</v>
      </c>
      <c r="D616" s="273" t="str">
        <f>VLOOKUP(B616,INSUMOS!$A:$I,3,FALSE)</f>
        <v>ALIMENTACAO - HORISTA (COLETADO CAIXA)</v>
      </c>
      <c r="E616" s="361" t="str">
        <f>VLOOKUP(B616,INSUMOS!$A:$I,4,FALSE)</f>
        <v>Outros</v>
      </c>
      <c r="F616" s="361"/>
      <c r="G616" s="264" t="str">
        <f>VLOOKUP(B616,INSUMOS!$A:$I,5,FALSE)</f>
        <v>H</v>
      </c>
      <c r="H616" s="267">
        <v>1</v>
      </c>
      <c r="I616" s="266">
        <f>VLOOKUP(B616,INSUMOS!$A:$I,8,FALSE)</f>
        <v>2.62</v>
      </c>
      <c r="J616" s="266">
        <f t="shared" si="95"/>
        <v>2.62</v>
      </c>
      <c r="L616" s="145">
        <f t="shared" si="89"/>
        <v>71</v>
      </c>
      <c r="M616" s="156">
        <f t="shared" si="90"/>
        <v>2.62</v>
      </c>
      <c r="N616" s="157" t="str">
        <f t="shared" si="91"/>
        <v/>
      </c>
      <c r="O616" s="157">
        <f t="shared" si="92"/>
        <v>2.62</v>
      </c>
      <c r="P616" s="158" t="str">
        <f t="shared" si="93"/>
        <v/>
      </c>
      <c r="Q616" s="157" t="str">
        <f>IF(P616&lt;&gt;"",SUMIF(L616:L676,L616,N616:N676),"")</f>
        <v/>
      </c>
      <c r="R616" s="157" t="str">
        <f>IF(P616&lt;&gt;"",SUMIF(L616:L676,L616,O616:O676),"")</f>
        <v/>
      </c>
    </row>
    <row r="617" spans="1:18" ht="15" customHeight="1" x14ac:dyDescent="0.25">
      <c r="A617" s="273" t="s">
        <v>31</v>
      </c>
      <c r="B617" s="265" t="s">
        <v>120</v>
      </c>
      <c r="C617" s="273" t="str">
        <f>VLOOKUP(B617,INSUMOS!$A:$I,2,FALSE)</f>
        <v>SINAPI</v>
      </c>
      <c r="D617" s="273" t="str">
        <f>VLOOKUP(B617,INSUMOS!$A:$I,3,FALSE)</f>
        <v>EPI - FAMILIA OPERADOR ESCAVADEIRA - HORISTA (ENCARGOS COMPLEMENTARES - COLETADO CAIXA)</v>
      </c>
      <c r="E617" s="361" t="str">
        <f>VLOOKUP(B617,INSUMOS!$A:$I,4,FALSE)</f>
        <v>Equipamento</v>
      </c>
      <c r="F617" s="361"/>
      <c r="G617" s="264" t="str">
        <f>VLOOKUP(B617,INSUMOS!$A:$I,5,FALSE)</f>
        <v>H</v>
      </c>
      <c r="H617" s="267">
        <v>1</v>
      </c>
      <c r="I617" s="266">
        <f>VLOOKUP(B617,INSUMOS!$A:$I,8,FALSE)</f>
        <v>0.63</v>
      </c>
      <c r="J617" s="266">
        <f t="shared" si="95"/>
        <v>0.63</v>
      </c>
      <c r="L617" s="145">
        <f t="shared" si="89"/>
        <v>71</v>
      </c>
      <c r="M617" s="156">
        <f t="shared" si="90"/>
        <v>0.63</v>
      </c>
      <c r="N617" s="157" t="str">
        <f t="shared" si="91"/>
        <v/>
      </c>
      <c r="O617" s="157">
        <f t="shared" si="92"/>
        <v>0.63</v>
      </c>
      <c r="P617" s="158" t="str">
        <f t="shared" si="93"/>
        <v/>
      </c>
      <c r="Q617" s="157" t="str">
        <f>IF(P617&lt;&gt;"",SUMIF(L617:L676,L617,N617:N676),"")</f>
        <v/>
      </c>
      <c r="R617" s="157" t="str">
        <f>IF(P617&lt;&gt;"",SUMIF(L617:L676,L617,O617:O676),"")</f>
        <v/>
      </c>
    </row>
    <row r="618" spans="1:18" ht="14.25" customHeight="1" x14ac:dyDescent="0.25">
      <c r="A618" s="273" t="s">
        <v>31</v>
      </c>
      <c r="B618" s="265" t="s">
        <v>92</v>
      </c>
      <c r="C618" s="273" t="str">
        <f>VLOOKUP(B618,INSUMOS!$A:$I,2,FALSE)</f>
        <v>SINAPI</v>
      </c>
      <c r="D618" s="273" t="str">
        <f>VLOOKUP(B618,INSUMOS!$A:$I,3,FALSE)</f>
        <v>EXAMES - HORISTA (COLETADO CAIXA)</v>
      </c>
      <c r="E618" s="361" t="str">
        <f>VLOOKUP(B618,INSUMOS!$A:$I,4,FALSE)</f>
        <v>Outros</v>
      </c>
      <c r="F618" s="361"/>
      <c r="G618" s="264" t="str">
        <f>VLOOKUP(B618,INSUMOS!$A:$I,5,FALSE)</f>
        <v>H</v>
      </c>
      <c r="H618" s="267">
        <v>1</v>
      </c>
      <c r="I618" s="266">
        <f>VLOOKUP(B618,INSUMOS!$A:$I,8,FALSE)</f>
        <v>0.55000000000000004</v>
      </c>
      <c r="J618" s="266">
        <f t="shared" si="95"/>
        <v>0.55000000000000004</v>
      </c>
      <c r="L618" s="145">
        <f t="shared" si="89"/>
        <v>71</v>
      </c>
      <c r="M618" s="156">
        <f t="shared" si="90"/>
        <v>0.55000000000000004</v>
      </c>
      <c r="N618" s="157" t="str">
        <f t="shared" si="91"/>
        <v/>
      </c>
      <c r="O618" s="157">
        <f t="shared" si="92"/>
        <v>0.55000000000000004</v>
      </c>
      <c r="P618" s="158" t="str">
        <f t="shared" si="93"/>
        <v/>
      </c>
      <c r="Q618" s="157" t="str">
        <f>IF(P618&lt;&gt;"",SUMIF(L618:L676,L618,N618:N676),"")</f>
        <v/>
      </c>
      <c r="R618" s="157" t="str">
        <f>IF(P618&lt;&gt;"",SUMIF(L618:L676,L618,O618:O676),"")</f>
        <v/>
      </c>
    </row>
    <row r="619" spans="1:18" ht="38.25" customHeight="1" x14ac:dyDescent="0.25">
      <c r="A619" s="273" t="s">
        <v>31</v>
      </c>
      <c r="B619" s="265" t="s">
        <v>121</v>
      </c>
      <c r="C619" s="273" t="str">
        <f>VLOOKUP(B619,INSUMOS!$A:$I,2,FALSE)</f>
        <v>SINAPI</v>
      </c>
      <c r="D619" s="273" t="str">
        <f>VLOOKUP(B619,INSUMOS!$A:$I,3,FALSE)</f>
        <v>FERRAMENTAS - FAMILIA OPERADOR ESCAVADEIRA - HORISTA (ENCARGOS COMPLEMENTARES - COLETADO CAIXA)</v>
      </c>
      <c r="E619" s="361" t="str">
        <f>VLOOKUP(B619,INSUMOS!$A:$I,4,FALSE)</f>
        <v>Equipamento</v>
      </c>
      <c r="F619" s="361"/>
      <c r="G619" s="264" t="str">
        <f>VLOOKUP(B619,INSUMOS!$A:$I,5,FALSE)</f>
        <v>H</v>
      </c>
      <c r="H619" s="267">
        <v>1</v>
      </c>
      <c r="I619" s="266">
        <f>VLOOKUP(B619,INSUMOS!$A:$I,8,FALSE)</f>
        <v>0.01</v>
      </c>
      <c r="J619" s="266">
        <f t="shared" si="95"/>
        <v>0.01</v>
      </c>
      <c r="L619" s="145">
        <f t="shared" si="89"/>
        <v>71</v>
      </c>
      <c r="M619" s="156">
        <f t="shared" si="90"/>
        <v>0.01</v>
      </c>
      <c r="N619" s="157" t="str">
        <f t="shared" si="91"/>
        <v/>
      </c>
      <c r="O619" s="157">
        <f t="shared" si="92"/>
        <v>0.01</v>
      </c>
      <c r="P619" s="158" t="str">
        <f t="shared" si="93"/>
        <v/>
      </c>
      <c r="Q619" s="157" t="str">
        <f>IF(P619&lt;&gt;"",SUMIF(L619:L676,L619,N619:N676),"")</f>
        <v/>
      </c>
      <c r="R619" s="157" t="str">
        <f>IF(P619&lt;&gt;"",SUMIF(L619:L676,L619,O619:O676),"")</f>
        <v/>
      </c>
    </row>
    <row r="620" spans="1:18" ht="25.5" customHeight="1" x14ac:dyDescent="0.25">
      <c r="A620" s="273" t="s">
        <v>31</v>
      </c>
      <c r="B620" s="265" t="s">
        <v>113</v>
      </c>
      <c r="C620" s="273" t="str">
        <f>VLOOKUP(B620,INSUMOS!$A:$I,2,FALSE)</f>
        <v>SINAPI</v>
      </c>
      <c r="D620" s="273" t="str">
        <f>VLOOKUP(B620,INSUMOS!$A:$I,3,FALSE)</f>
        <v>OPERADOR DE BETONEIRA ESTACIONARIA / MISTURADOR</v>
      </c>
      <c r="E620" s="361" t="str">
        <f>VLOOKUP(B620,INSUMOS!$A:$I,4,FALSE)</f>
        <v>Mão de Obra</v>
      </c>
      <c r="F620" s="361"/>
      <c r="G620" s="264" t="str">
        <f>VLOOKUP(B620,INSUMOS!$A:$I,5,FALSE)</f>
        <v>H</v>
      </c>
      <c r="H620" s="267">
        <v>1</v>
      </c>
      <c r="I620" s="266">
        <f>VLOOKUP(B620,INSUMOS!$A:$I,8,FALSE)</f>
        <v>12.52</v>
      </c>
      <c r="J620" s="266">
        <f t="shared" si="95"/>
        <v>12.52</v>
      </c>
      <c r="L620" s="145">
        <f t="shared" si="89"/>
        <v>71</v>
      </c>
      <c r="M620" s="156">
        <f t="shared" si="90"/>
        <v>12.52</v>
      </c>
      <c r="N620" s="157">
        <f t="shared" si="91"/>
        <v>12.52</v>
      </c>
      <c r="O620" s="157" t="str">
        <f t="shared" si="92"/>
        <v/>
      </c>
      <c r="P620" s="158" t="str">
        <f t="shared" si="93"/>
        <v/>
      </c>
      <c r="Q620" s="157" t="str">
        <f>IF(P620&lt;&gt;"",SUMIF(L620:L676,L620,N620:N676),"")</f>
        <v/>
      </c>
      <c r="R620" s="157" t="str">
        <f>IF(P620&lt;&gt;"",SUMIF(L620:L676,L620,O620:O676),"")</f>
        <v/>
      </c>
    </row>
    <row r="621" spans="1:18" x14ac:dyDescent="0.25">
      <c r="A621" s="273" t="s">
        <v>31</v>
      </c>
      <c r="B621" s="265" t="s">
        <v>94</v>
      </c>
      <c r="C621" s="273" t="str">
        <f>VLOOKUP(B621,INSUMOS!$A:$I,2,FALSE)</f>
        <v>SINAPI</v>
      </c>
      <c r="D621" s="273" t="str">
        <f>VLOOKUP(B621,INSUMOS!$A:$I,3,FALSE)</f>
        <v>SEGURO - HORISTA (COLETADO CAIXA)</v>
      </c>
      <c r="E621" s="361" t="str">
        <f>VLOOKUP(B621,INSUMOS!$A:$I,4,FALSE)</f>
        <v>Taxas</v>
      </c>
      <c r="F621" s="361"/>
      <c r="G621" s="264" t="str">
        <f>VLOOKUP(B621,INSUMOS!$A:$I,5,FALSE)</f>
        <v>H</v>
      </c>
      <c r="H621" s="267">
        <v>1</v>
      </c>
      <c r="I621" s="266">
        <f>VLOOKUP(B621,INSUMOS!$A:$I,8,FALSE)</f>
        <v>0.06</v>
      </c>
      <c r="J621" s="266">
        <f t="shared" si="95"/>
        <v>0.06</v>
      </c>
      <c r="L621" s="145">
        <f t="shared" si="89"/>
        <v>71</v>
      </c>
      <c r="M621" s="156">
        <f t="shared" si="90"/>
        <v>0.06</v>
      </c>
      <c r="N621" s="157" t="str">
        <f t="shared" si="91"/>
        <v/>
      </c>
      <c r="O621" s="157">
        <f t="shared" si="92"/>
        <v>0.06</v>
      </c>
      <c r="P621" s="158" t="str">
        <f t="shared" si="93"/>
        <v/>
      </c>
      <c r="Q621" s="157" t="str">
        <f>IF(P621&lt;&gt;"",SUMIF(L621:L676,L621,N621:N676),"")</f>
        <v/>
      </c>
      <c r="R621" s="157" t="str">
        <f>IF(P621&lt;&gt;"",SUMIF(L621:L676,L621,O621:O676),"")</f>
        <v/>
      </c>
    </row>
    <row r="622" spans="1:18" x14ac:dyDescent="0.25">
      <c r="A622" s="273" t="s">
        <v>31</v>
      </c>
      <c r="B622" s="265" t="s">
        <v>95</v>
      </c>
      <c r="C622" s="273" t="str">
        <f>VLOOKUP(B622,INSUMOS!$A:$I,2,FALSE)</f>
        <v>SINAPI</v>
      </c>
      <c r="D622" s="273" t="str">
        <f>VLOOKUP(B622,INSUMOS!$A:$I,3,FALSE)</f>
        <v>TRANSPORTE - HORISTA (COLETADO CAIXA)</v>
      </c>
      <c r="E622" s="361" t="str">
        <f>VLOOKUP(B622,INSUMOS!$A:$I,4,FALSE)</f>
        <v>Serviços</v>
      </c>
      <c r="F622" s="361"/>
      <c r="G622" s="264" t="str">
        <f>VLOOKUP(B622,INSUMOS!$A:$I,5,FALSE)</f>
        <v>H</v>
      </c>
      <c r="H622" s="267">
        <v>1</v>
      </c>
      <c r="I622" s="266">
        <f>VLOOKUP(B622,INSUMOS!$A:$I,8,FALSE)</f>
        <v>1.36</v>
      </c>
      <c r="J622" s="266">
        <f t="shared" si="95"/>
        <v>1.36</v>
      </c>
      <c r="L622" s="145">
        <f t="shared" si="89"/>
        <v>71</v>
      </c>
      <c r="M622" s="156">
        <f t="shared" si="90"/>
        <v>1.36</v>
      </c>
      <c r="N622" s="157" t="str">
        <f t="shared" si="91"/>
        <v/>
      </c>
      <c r="O622" s="157">
        <f t="shared" si="92"/>
        <v>1.36</v>
      </c>
      <c r="P622" s="158" t="str">
        <f t="shared" si="93"/>
        <v/>
      </c>
      <c r="Q622" s="157" t="str">
        <f>IF(P622&lt;&gt;"",SUMIF(L622:L676,L622,N622:N676),"")</f>
        <v/>
      </c>
      <c r="R622" s="157" t="str">
        <f>IF(P622&lt;&gt;"",SUMIF(L622:L676,L622,O622:O676),"")</f>
        <v/>
      </c>
    </row>
    <row r="623" spans="1:18" x14ac:dyDescent="0.25">
      <c r="A623" s="274"/>
      <c r="B623" s="274"/>
      <c r="C623" s="274"/>
      <c r="D623" s="274"/>
      <c r="E623" s="274"/>
      <c r="F623" s="268"/>
      <c r="G623" s="274"/>
      <c r="H623" s="268"/>
      <c r="I623" s="274"/>
      <c r="J623" s="268"/>
      <c r="L623" s="145">
        <f t="shared" si="89"/>
        <v>71</v>
      </c>
      <c r="M623" s="156" t="str">
        <f t="shared" si="90"/>
        <v/>
      </c>
      <c r="N623" s="157" t="str">
        <f t="shared" si="91"/>
        <v/>
      </c>
      <c r="O623" s="157" t="str">
        <f t="shared" si="92"/>
        <v/>
      </c>
      <c r="P623" s="158" t="str">
        <f t="shared" si="93"/>
        <v/>
      </c>
      <c r="Q623" s="157" t="str">
        <f>IF(P623&lt;&gt;"",SUMIF(L623:L676,L623,N623:N676),"")</f>
        <v/>
      </c>
      <c r="R623" s="157" t="str">
        <f>IF(P623&lt;&gt;"",SUMIF(L623:L676,L623,O623:O676),"")</f>
        <v/>
      </c>
    </row>
    <row r="624" spans="1:18" ht="25.5" customHeight="1" thickBot="1" x14ac:dyDescent="0.3">
      <c r="A624" s="274"/>
      <c r="B624" s="274"/>
      <c r="C624" s="274"/>
      <c r="D624" s="274"/>
      <c r="E624" s="274"/>
      <c r="F624" s="268"/>
      <c r="G624" s="274"/>
      <c r="H624" s="350"/>
      <c r="I624" s="350"/>
      <c r="J624" s="268"/>
      <c r="L624" s="145">
        <f t="shared" si="89"/>
        <v>71</v>
      </c>
      <c r="M624" s="156" t="str">
        <f t="shared" si="90"/>
        <v/>
      </c>
      <c r="N624" s="157" t="str">
        <f t="shared" si="91"/>
        <v/>
      </c>
      <c r="O624" s="157" t="str">
        <f t="shared" si="92"/>
        <v/>
      </c>
      <c r="P624" s="158" t="str">
        <f t="shared" si="93"/>
        <v/>
      </c>
      <c r="Q624" s="157" t="str">
        <f>IF(P624&lt;&gt;"",SUMIF(L624:L676,L624,N624:N676),"")</f>
        <v/>
      </c>
      <c r="R624" s="157" t="str">
        <f>IF(P624&lt;&gt;"",SUMIF(L624:L676,L624,O624:O676),"")</f>
        <v/>
      </c>
    </row>
    <row r="625" spans="1:18" ht="25.5" customHeight="1" thickTop="1" x14ac:dyDescent="0.25">
      <c r="A625" s="259"/>
      <c r="B625" s="259"/>
      <c r="C625" s="259"/>
      <c r="D625" s="259"/>
      <c r="E625" s="259"/>
      <c r="F625" s="259"/>
      <c r="G625" s="259"/>
      <c r="H625" s="259"/>
      <c r="I625" s="259"/>
      <c r="J625" s="259"/>
      <c r="L625" s="145">
        <f t="shared" si="89"/>
        <v>71</v>
      </c>
      <c r="M625" s="156" t="str">
        <f t="shared" si="90"/>
        <v/>
      </c>
      <c r="N625" s="157" t="str">
        <f t="shared" si="91"/>
        <v/>
      </c>
      <c r="O625" s="157" t="str">
        <f t="shared" si="92"/>
        <v/>
      </c>
      <c r="P625" s="158" t="str">
        <f t="shared" si="93"/>
        <v/>
      </c>
      <c r="Q625" s="157" t="str">
        <f>IF(P625&lt;&gt;"",SUMIF(L625:L676,L625,N625:N676),"")</f>
        <v/>
      </c>
      <c r="R625" s="157" t="str">
        <f>IF(P625&lt;&gt;"",SUMIF(L625:L676,L625,O625:O676),"")</f>
        <v/>
      </c>
    </row>
    <row r="626" spans="1:18" ht="38.25" customHeight="1" x14ac:dyDescent="0.25">
      <c r="A626" s="270"/>
      <c r="B626" s="254" t="s">
        <v>1</v>
      </c>
      <c r="C626" s="270" t="s">
        <v>2</v>
      </c>
      <c r="D626" s="270" t="s">
        <v>3</v>
      </c>
      <c r="E626" s="347" t="s">
        <v>19</v>
      </c>
      <c r="F626" s="347"/>
      <c r="G626" s="253" t="s">
        <v>4</v>
      </c>
      <c r="H626" s="254" t="s">
        <v>5</v>
      </c>
      <c r="I626" s="254" t="s">
        <v>6</v>
      </c>
      <c r="J626" s="254" t="s">
        <v>7</v>
      </c>
      <c r="L626" s="145">
        <f t="shared" si="89"/>
        <v>72</v>
      </c>
      <c r="M626" s="156" t="str">
        <f t="shared" si="90"/>
        <v/>
      </c>
      <c r="N626" s="157" t="str">
        <f t="shared" si="91"/>
        <v/>
      </c>
      <c r="O626" s="157" t="str">
        <f t="shared" si="92"/>
        <v/>
      </c>
      <c r="P626" s="158" t="str">
        <f t="shared" si="93"/>
        <v/>
      </c>
      <c r="Q626" s="157" t="str">
        <f>IF(P626&lt;&gt;"",SUMIF(L626:L676,L626,N626:N676),"")</f>
        <v/>
      </c>
      <c r="R626" s="157" t="str">
        <f>IF(P626&lt;&gt;"",SUMIF(L626:L676,L626,O626:O676),"")</f>
        <v/>
      </c>
    </row>
    <row r="627" spans="1:18" ht="14.25" customHeight="1" x14ac:dyDescent="0.25">
      <c r="A627" s="271" t="s">
        <v>20</v>
      </c>
      <c r="B627" s="256" t="s">
        <v>750</v>
      </c>
      <c r="C627" s="271" t="s">
        <v>10</v>
      </c>
      <c r="D627" s="271" t="s">
        <v>751</v>
      </c>
      <c r="E627" s="362" t="s">
        <v>27</v>
      </c>
      <c r="F627" s="362"/>
      <c r="G627" s="255" t="s">
        <v>28</v>
      </c>
      <c r="H627" s="258">
        <v>1</v>
      </c>
      <c r="I627" s="257">
        <f>SUMIF(L:L,$L627,M:M)</f>
        <v>18.979999999999997</v>
      </c>
      <c r="J627" s="257">
        <f t="shared" ref="J627:J635" si="96">TRUNC(H627*I627,2)</f>
        <v>18.98</v>
      </c>
      <c r="L627" s="145">
        <f t="shared" si="89"/>
        <v>72</v>
      </c>
      <c r="M627" s="156" t="str">
        <f t="shared" si="90"/>
        <v/>
      </c>
      <c r="N627" s="157" t="str">
        <f t="shared" si="91"/>
        <v/>
      </c>
      <c r="O627" s="157" t="str">
        <f t="shared" si="92"/>
        <v/>
      </c>
      <c r="P627" s="158" t="str">
        <f t="shared" si="93"/>
        <v xml:space="preserve"> 88298 </v>
      </c>
      <c r="Q627" s="157">
        <f>IF(P627&lt;&gt;"",SUMIF(L627:L676,L627,N627:N676),"")</f>
        <v>13.67</v>
      </c>
      <c r="R627" s="157">
        <f>IF(P627&lt;&gt;"",SUMIF(L627:L676,L627,O627:O676),"")</f>
        <v>5.31</v>
      </c>
    </row>
    <row r="628" spans="1:18" ht="15" customHeight="1" x14ac:dyDescent="0.25">
      <c r="A628" s="272" t="s">
        <v>22</v>
      </c>
      <c r="B628" s="261" t="s">
        <v>734</v>
      </c>
      <c r="C628" s="272" t="s">
        <v>10</v>
      </c>
      <c r="D628" s="272" t="s">
        <v>735</v>
      </c>
      <c r="E628" s="363" t="s">
        <v>27</v>
      </c>
      <c r="F628" s="363"/>
      <c r="G628" s="260" t="s">
        <v>28</v>
      </c>
      <c r="H628" s="263">
        <v>1</v>
      </c>
      <c r="I628" s="262">
        <f>SUMIFS(J:J,A:A,"Composição",B:B,$B628)</f>
        <v>0.08</v>
      </c>
      <c r="J628" s="262">
        <f t="shared" si="96"/>
        <v>0.08</v>
      </c>
      <c r="L628" s="145">
        <f t="shared" si="89"/>
        <v>72</v>
      </c>
      <c r="M628" s="156">
        <f t="shared" si="90"/>
        <v>0.08</v>
      </c>
      <c r="N628" s="157" t="str">
        <f t="shared" si="91"/>
        <v/>
      </c>
      <c r="O628" s="157">
        <f t="shared" si="92"/>
        <v>0.08</v>
      </c>
      <c r="P628" s="158" t="str">
        <f t="shared" si="93"/>
        <v/>
      </c>
      <c r="Q628" s="157" t="str">
        <f>IF(P628&lt;&gt;"",SUMIF(L628:L676,L628,N628:N676),"")</f>
        <v/>
      </c>
      <c r="R628" s="157" t="str">
        <f>IF(P628&lt;&gt;"",SUMIF(L628:L676,L628,O628:O676),"")</f>
        <v/>
      </c>
    </row>
    <row r="629" spans="1:18" x14ac:dyDescent="0.25">
      <c r="A629" s="273" t="s">
        <v>31</v>
      </c>
      <c r="B629" s="265" t="s">
        <v>90</v>
      </c>
      <c r="C629" s="273" t="str">
        <f>VLOOKUP(B629,INSUMOS!$A:$I,2,FALSE)</f>
        <v>SINAPI</v>
      </c>
      <c r="D629" s="273" t="str">
        <f>VLOOKUP(B629,INSUMOS!$A:$I,3,FALSE)</f>
        <v>ALIMENTACAO - HORISTA (COLETADO CAIXA)</v>
      </c>
      <c r="E629" s="361" t="str">
        <f>VLOOKUP(B629,INSUMOS!$A:$I,4,FALSE)</f>
        <v>Outros</v>
      </c>
      <c r="F629" s="361"/>
      <c r="G629" s="264" t="str">
        <f>VLOOKUP(B629,INSUMOS!$A:$I,5,FALSE)</f>
        <v>H</v>
      </c>
      <c r="H629" s="267">
        <v>1</v>
      </c>
      <c r="I629" s="266">
        <f>VLOOKUP(B629,INSUMOS!$A:$I,8,FALSE)</f>
        <v>2.62</v>
      </c>
      <c r="J629" s="266">
        <f t="shared" si="96"/>
        <v>2.62</v>
      </c>
      <c r="L629" s="145">
        <f t="shared" si="89"/>
        <v>72</v>
      </c>
      <c r="M629" s="156">
        <f t="shared" si="90"/>
        <v>2.62</v>
      </c>
      <c r="N629" s="157" t="str">
        <f t="shared" si="91"/>
        <v/>
      </c>
      <c r="O629" s="157">
        <f t="shared" si="92"/>
        <v>2.62</v>
      </c>
      <c r="P629" s="158" t="str">
        <f t="shared" si="93"/>
        <v/>
      </c>
      <c r="Q629" s="157" t="str">
        <f>IF(P629&lt;&gt;"",SUMIF(L629:L676,L629,N629:N676),"")</f>
        <v/>
      </c>
      <c r="R629" s="157" t="str">
        <f>IF(P629&lt;&gt;"",SUMIF(L629:L676,L629,O629:O676),"")</f>
        <v/>
      </c>
    </row>
    <row r="630" spans="1:18" ht="26.4" x14ac:dyDescent="0.25">
      <c r="A630" s="273" t="s">
        <v>31</v>
      </c>
      <c r="B630" s="265" t="s">
        <v>120</v>
      </c>
      <c r="C630" s="273" t="str">
        <f>VLOOKUP(B630,INSUMOS!$A:$I,2,FALSE)</f>
        <v>SINAPI</v>
      </c>
      <c r="D630" s="273" t="str">
        <f>VLOOKUP(B630,INSUMOS!$A:$I,3,FALSE)</f>
        <v>EPI - FAMILIA OPERADOR ESCAVADEIRA - HORISTA (ENCARGOS COMPLEMENTARES - COLETADO CAIXA)</v>
      </c>
      <c r="E630" s="361" t="str">
        <f>VLOOKUP(B630,INSUMOS!$A:$I,4,FALSE)</f>
        <v>Equipamento</v>
      </c>
      <c r="F630" s="361"/>
      <c r="G630" s="264" t="str">
        <f>VLOOKUP(B630,INSUMOS!$A:$I,5,FALSE)</f>
        <v>H</v>
      </c>
      <c r="H630" s="267">
        <v>1</v>
      </c>
      <c r="I630" s="266">
        <f>VLOOKUP(B630,INSUMOS!$A:$I,8,FALSE)</f>
        <v>0.63</v>
      </c>
      <c r="J630" s="266">
        <f t="shared" si="96"/>
        <v>0.63</v>
      </c>
      <c r="L630" s="145">
        <f t="shared" si="89"/>
        <v>72</v>
      </c>
      <c r="M630" s="156">
        <f t="shared" si="90"/>
        <v>0.63</v>
      </c>
      <c r="N630" s="157" t="str">
        <f t="shared" si="91"/>
        <v/>
      </c>
      <c r="O630" s="157">
        <f t="shared" si="92"/>
        <v>0.63</v>
      </c>
      <c r="P630" s="158" t="str">
        <f t="shared" si="93"/>
        <v/>
      </c>
      <c r="Q630" s="157" t="str">
        <f>IF(P630&lt;&gt;"",SUMIF(L630:L676,L630,N630:N676),"")</f>
        <v/>
      </c>
      <c r="R630" s="157" t="str">
        <f>IF(P630&lt;&gt;"",SUMIF(L630:L676,L630,O630:O676),"")</f>
        <v/>
      </c>
    </row>
    <row r="631" spans="1:18" x14ac:dyDescent="0.25">
      <c r="A631" s="273" t="s">
        <v>31</v>
      </c>
      <c r="B631" s="265" t="s">
        <v>92</v>
      </c>
      <c r="C631" s="273" t="str">
        <f>VLOOKUP(B631,INSUMOS!$A:$I,2,FALSE)</f>
        <v>SINAPI</v>
      </c>
      <c r="D631" s="273" t="str">
        <f>VLOOKUP(B631,INSUMOS!$A:$I,3,FALSE)</f>
        <v>EXAMES - HORISTA (COLETADO CAIXA)</v>
      </c>
      <c r="E631" s="361" t="str">
        <f>VLOOKUP(B631,INSUMOS!$A:$I,4,FALSE)</f>
        <v>Outros</v>
      </c>
      <c r="F631" s="361"/>
      <c r="G631" s="264" t="str">
        <f>VLOOKUP(B631,INSUMOS!$A:$I,5,FALSE)</f>
        <v>H</v>
      </c>
      <c r="H631" s="267">
        <v>1</v>
      </c>
      <c r="I631" s="266">
        <f>VLOOKUP(B631,INSUMOS!$A:$I,8,FALSE)</f>
        <v>0.55000000000000004</v>
      </c>
      <c r="J631" s="266">
        <f t="shared" si="96"/>
        <v>0.55000000000000004</v>
      </c>
      <c r="L631" s="145">
        <f t="shared" si="89"/>
        <v>72</v>
      </c>
      <c r="M631" s="156">
        <f t="shared" si="90"/>
        <v>0.55000000000000004</v>
      </c>
      <c r="N631" s="157" t="str">
        <f t="shared" si="91"/>
        <v/>
      </c>
      <c r="O631" s="157">
        <f t="shared" si="92"/>
        <v>0.55000000000000004</v>
      </c>
      <c r="P631" s="158" t="str">
        <f t="shared" si="93"/>
        <v/>
      </c>
      <c r="Q631" s="157" t="str">
        <f>IF(P631&lt;&gt;"",SUMIF(L631:L676,L631,N631:N676),"")</f>
        <v/>
      </c>
      <c r="R631" s="157" t="str">
        <f>IF(P631&lt;&gt;"",SUMIF(L631:L676,L631,O631:O676),"")</f>
        <v/>
      </c>
    </row>
    <row r="632" spans="1:18" ht="25.5" customHeight="1" x14ac:dyDescent="0.25">
      <c r="A632" s="273" t="s">
        <v>31</v>
      </c>
      <c r="B632" s="265" t="s">
        <v>121</v>
      </c>
      <c r="C632" s="273" t="str">
        <f>VLOOKUP(B632,INSUMOS!$A:$I,2,FALSE)</f>
        <v>SINAPI</v>
      </c>
      <c r="D632" s="273" t="str">
        <f>VLOOKUP(B632,INSUMOS!$A:$I,3,FALSE)</f>
        <v>FERRAMENTAS - FAMILIA OPERADOR ESCAVADEIRA - HORISTA (ENCARGOS COMPLEMENTARES - COLETADO CAIXA)</v>
      </c>
      <c r="E632" s="361" t="str">
        <f>VLOOKUP(B632,INSUMOS!$A:$I,4,FALSE)</f>
        <v>Equipamento</v>
      </c>
      <c r="F632" s="361"/>
      <c r="G632" s="264" t="str">
        <f>VLOOKUP(B632,INSUMOS!$A:$I,5,FALSE)</f>
        <v>H</v>
      </c>
      <c r="H632" s="267">
        <v>1</v>
      </c>
      <c r="I632" s="266">
        <f>VLOOKUP(B632,INSUMOS!$A:$I,8,FALSE)</f>
        <v>0.01</v>
      </c>
      <c r="J632" s="266">
        <f t="shared" si="96"/>
        <v>0.01</v>
      </c>
      <c r="L632" s="145">
        <f t="shared" si="89"/>
        <v>72</v>
      </c>
      <c r="M632" s="156">
        <f t="shared" si="90"/>
        <v>0.01</v>
      </c>
      <c r="N632" s="157" t="str">
        <f t="shared" si="91"/>
        <v/>
      </c>
      <c r="O632" s="157">
        <f t="shared" si="92"/>
        <v>0.01</v>
      </c>
      <c r="P632" s="158" t="str">
        <f t="shared" si="93"/>
        <v/>
      </c>
      <c r="Q632" s="157" t="str">
        <f>IF(P632&lt;&gt;"",SUMIF(L632:L676,L632,N632:N676),"")</f>
        <v/>
      </c>
      <c r="R632" s="157" t="str">
        <f>IF(P632&lt;&gt;"",SUMIF(L632:L676,L632,O632:O676),"")</f>
        <v/>
      </c>
    </row>
    <row r="633" spans="1:18" ht="15" customHeight="1" x14ac:dyDescent="0.25">
      <c r="A633" s="273" t="s">
        <v>31</v>
      </c>
      <c r="B633" s="265" t="s">
        <v>507</v>
      </c>
      <c r="C633" s="273" t="str">
        <f>VLOOKUP(B633,INSUMOS!$A:$I,2,FALSE)</f>
        <v>SINAPI</v>
      </c>
      <c r="D633" s="273" t="str">
        <f>VLOOKUP(B633,INSUMOS!$A:$I,3,FALSE)</f>
        <v>OPERADOR DE MARTELETE OU MARTELETEIRO</v>
      </c>
      <c r="E633" s="361" t="str">
        <f>VLOOKUP(B633,INSUMOS!$A:$I,4,FALSE)</f>
        <v>Mão de Obra</v>
      </c>
      <c r="F633" s="361"/>
      <c r="G633" s="264" t="str">
        <f>VLOOKUP(B633,INSUMOS!$A:$I,5,FALSE)</f>
        <v>H</v>
      </c>
      <c r="H633" s="267">
        <v>1</v>
      </c>
      <c r="I633" s="266">
        <f>VLOOKUP(B633,INSUMOS!$A:$I,8,FALSE)</f>
        <v>13.67</v>
      </c>
      <c r="J633" s="266">
        <f t="shared" si="96"/>
        <v>13.67</v>
      </c>
      <c r="L633" s="145">
        <f t="shared" si="89"/>
        <v>72</v>
      </c>
      <c r="M633" s="156">
        <f t="shared" si="90"/>
        <v>13.67</v>
      </c>
      <c r="N633" s="157">
        <f t="shared" si="91"/>
        <v>13.67</v>
      </c>
      <c r="O633" s="157" t="str">
        <f t="shared" si="92"/>
        <v/>
      </c>
      <c r="P633" s="158" t="str">
        <f t="shared" si="93"/>
        <v/>
      </c>
      <c r="Q633" s="157" t="str">
        <f>IF(P633&lt;&gt;"",SUMIF(L633:L676,L633,N633:N676),"")</f>
        <v/>
      </c>
      <c r="R633" s="157" t="str">
        <f>IF(P633&lt;&gt;"",SUMIF(L633:L676,L633,O633:O676),"")</f>
        <v/>
      </c>
    </row>
    <row r="634" spans="1:18" ht="25.5" customHeight="1" x14ac:dyDescent="0.25">
      <c r="A634" s="273" t="s">
        <v>31</v>
      </c>
      <c r="B634" s="265" t="s">
        <v>94</v>
      </c>
      <c r="C634" s="273" t="str">
        <f>VLOOKUP(B634,INSUMOS!$A:$I,2,FALSE)</f>
        <v>SINAPI</v>
      </c>
      <c r="D634" s="273" t="str">
        <f>VLOOKUP(B634,INSUMOS!$A:$I,3,FALSE)</f>
        <v>SEGURO - HORISTA (COLETADO CAIXA)</v>
      </c>
      <c r="E634" s="361" t="str">
        <f>VLOOKUP(B634,INSUMOS!$A:$I,4,FALSE)</f>
        <v>Taxas</v>
      </c>
      <c r="F634" s="361"/>
      <c r="G634" s="264" t="str">
        <f>VLOOKUP(B634,INSUMOS!$A:$I,5,FALSE)</f>
        <v>H</v>
      </c>
      <c r="H634" s="267">
        <v>1</v>
      </c>
      <c r="I634" s="266">
        <f>VLOOKUP(B634,INSUMOS!$A:$I,8,FALSE)</f>
        <v>0.06</v>
      </c>
      <c r="J634" s="266">
        <f t="shared" si="96"/>
        <v>0.06</v>
      </c>
      <c r="L634" s="145">
        <f t="shared" si="89"/>
        <v>72</v>
      </c>
      <c r="M634" s="156">
        <f t="shared" si="90"/>
        <v>0.06</v>
      </c>
      <c r="N634" s="157" t="str">
        <f t="shared" si="91"/>
        <v/>
      </c>
      <c r="O634" s="157">
        <f t="shared" si="92"/>
        <v>0.06</v>
      </c>
      <c r="P634" s="158" t="str">
        <f t="shared" si="93"/>
        <v/>
      </c>
      <c r="Q634" s="157" t="str">
        <f>IF(P634&lt;&gt;"",SUMIF(L634:L676,L634,N634:N676),"")</f>
        <v/>
      </c>
      <c r="R634" s="157" t="str">
        <f>IF(P634&lt;&gt;"",SUMIF(L634:L676,L634,O634:O676),"")</f>
        <v/>
      </c>
    </row>
    <row r="635" spans="1:18" ht="38.25" customHeight="1" x14ac:dyDescent="0.25">
      <c r="A635" s="273" t="s">
        <v>31</v>
      </c>
      <c r="B635" s="265" t="s">
        <v>95</v>
      </c>
      <c r="C635" s="273" t="str">
        <f>VLOOKUP(B635,INSUMOS!$A:$I,2,FALSE)</f>
        <v>SINAPI</v>
      </c>
      <c r="D635" s="273" t="str">
        <f>VLOOKUP(B635,INSUMOS!$A:$I,3,FALSE)</f>
        <v>TRANSPORTE - HORISTA (COLETADO CAIXA)</v>
      </c>
      <c r="E635" s="361" t="str">
        <f>VLOOKUP(B635,INSUMOS!$A:$I,4,FALSE)</f>
        <v>Serviços</v>
      </c>
      <c r="F635" s="361"/>
      <c r="G635" s="264" t="str">
        <f>VLOOKUP(B635,INSUMOS!$A:$I,5,FALSE)</f>
        <v>H</v>
      </c>
      <c r="H635" s="267">
        <v>1</v>
      </c>
      <c r="I635" s="266">
        <f>VLOOKUP(B635,INSUMOS!$A:$I,8,FALSE)</f>
        <v>1.36</v>
      </c>
      <c r="J635" s="266">
        <f t="shared" si="96"/>
        <v>1.36</v>
      </c>
      <c r="L635" s="145">
        <f t="shared" si="89"/>
        <v>72</v>
      </c>
      <c r="M635" s="156">
        <f t="shared" si="90"/>
        <v>1.36</v>
      </c>
      <c r="N635" s="157" t="str">
        <f t="shared" si="91"/>
        <v/>
      </c>
      <c r="O635" s="157">
        <f t="shared" si="92"/>
        <v>1.36</v>
      </c>
      <c r="P635" s="158" t="str">
        <f t="shared" si="93"/>
        <v/>
      </c>
      <c r="Q635" s="157" t="str">
        <f>IF(P635&lt;&gt;"",SUMIF(L635:L676,L635,N635:N676),"")</f>
        <v/>
      </c>
      <c r="R635" s="157" t="str">
        <f>IF(P635&lt;&gt;"",SUMIF(L635:L676,L635,O635:O676),"")</f>
        <v/>
      </c>
    </row>
    <row r="636" spans="1:18" ht="38.25" customHeight="1" x14ac:dyDescent="0.25">
      <c r="A636" s="274"/>
      <c r="B636" s="274"/>
      <c r="C636" s="274"/>
      <c r="D636" s="274"/>
      <c r="E636" s="274"/>
      <c r="F636" s="268"/>
      <c r="G636" s="274"/>
      <c r="H636" s="268"/>
      <c r="I636" s="274"/>
      <c r="J636" s="268"/>
      <c r="L636" s="145">
        <f t="shared" si="89"/>
        <v>72</v>
      </c>
      <c r="M636" s="156" t="str">
        <f t="shared" si="90"/>
        <v/>
      </c>
      <c r="N636" s="157" t="str">
        <f t="shared" si="91"/>
        <v/>
      </c>
      <c r="O636" s="157" t="str">
        <f t="shared" si="92"/>
        <v/>
      </c>
      <c r="P636" s="158" t="str">
        <f t="shared" si="93"/>
        <v/>
      </c>
      <c r="Q636" s="157" t="str">
        <f>IF(P636&lt;&gt;"",SUMIF(L636:L676,L636,N636:N676),"")</f>
        <v/>
      </c>
      <c r="R636" s="157" t="str">
        <f>IF(P636&lt;&gt;"",SUMIF(L636:L676,L636,O636:O676),"")</f>
        <v/>
      </c>
    </row>
    <row r="637" spans="1:18" ht="14.4" thickBot="1" x14ac:dyDescent="0.3">
      <c r="A637" s="274"/>
      <c r="B637" s="274"/>
      <c r="C637" s="274"/>
      <c r="D637" s="274"/>
      <c r="E637" s="274"/>
      <c r="F637" s="268"/>
      <c r="G637" s="274"/>
      <c r="H637" s="350"/>
      <c r="I637" s="350"/>
      <c r="J637" s="268"/>
      <c r="L637" s="145">
        <f t="shared" si="89"/>
        <v>72</v>
      </c>
      <c r="M637" s="156" t="str">
        <f t="shared" si="90"/>
        <v/>
      </c>
      <c r="N637" s="157" t="str">
        <f t="shared" si="91"/>
        <v/>
      </c>
      <c r="O637" s="157" t="str">
        <f t="shared" si="92"/>
        <v/>
      </c>
      <c r="P637" s="158" t="str">
        <f t="shared" si="93"/>
        <v/>
      </c>
      <c r="Q637" s="157" t="str">
        <f>IF(P637&lt;&gt;"",SUMIF(L637:L676,L637,N637:N676),"")</f>
        <v/>
      </c>
      <c r="R637" s="157" t="str">
        <f>IF(P637&lt;&gt;"",SUMIF(L637:L676,L637,O637:O676),"")</f>
        <v/>
      </c>
    </row>
    <row r="638" spans="1:18" ht="14.4" thickTop="1" x14ac:dyDescent="0.25">
      <c r="A638" s="259"/>
      <c r="B638" s="259"/>
      <c r="C638" s="259"/>
      <c r="D638" s="259"/>
      <c r="E638" s="259"/>
      <c r="F638" s="259"/>
      <c r="G638" s="259"/>
      <c r="H638" s="259"/>
      <c r="I638" s="259"/>
      <c r="J638" s="259"/>
      <c r="L638" s="145">
        <f t="shared" si="89"/>
        <v>72</v>
      </c>
      <c r="M638" s="156" t="str">
        <f t="shared" si="90"/>
        <v/>
      </c>
      <c r="N638" s="157" t="str">
        <f t="shared" si="91"/>
        <v/>
      </c>
      <c r="O638" s="157" t="str">
        <f t="shared" si="92"/>
        <v/>
      </c>
      <c r="P638" s="158" t="str">
        <f t="shared" si="93"/>
        <v/>
      </c>
      <c r="Q638" s="157" t="str">
        <f>IF(P638&lt;&gt;"",SUMIF(L638:L676,L638,N638:N676),"")</f>
        <v/>
      </c>
      <c r="R638" s="157" t="str">
        <f>IF(P638&lt;&gt;"",SUMIF(L638:L676,L638,O638:O676),"")</f>
        <v/>
      </c>
    </row>
    <row r="639" spans="1:18" ht="15" customHeight="1" x14ac:dyDescent="0.25">
      <c r="A639" s="270"/>
      <c r="B639" s="254" t="s">
        <v>1</v>
      </c>
      <c r="C639" s="270" t="s">
        <v>2</v>
      </c>
      <c r="D639" s="270" t="s">
        <v>3</v>
      </c>
      <c r="E639" s="347" t="s">
        <v>19</v>
      </c>
      <c r="F639" s="347"/>
      <c r="G639" s="253" t="s">
        <v>4</v>
      </c>
      <c r="H639" s="254" t="s">
        <v>5</v>
      </c>
      <c r="I639" s="254" t="s">
        <v>6</v>
      </c>
      <c r="J639" s="254" t="s">
        <v>7</v>
      </c>
      <c r="L639" s="145">
        <f t="shared" si="89"/>
        <v>73</v>
      </c>
      <c r="M639" s="156" t="str">
        <f t="shared" si="90"/>
        <v/>
      </c>
      <c r="N639" s="157" t="str">
        <f t="shared" si="91"/>
        <v/>
      </c>
      <c r="O639" s="157" t="str">
        <f t="shared" si="92"/>
        <v/>
      </c>
      <c r="P639" s="158" t="str">
        <f t="shared" si="93"/>
        <v/>
      </c>
      <c r="Q639" s="157" t="str">
        <f>IF(P639&lt;&gt;"",SUMIF(L639:L676,L639,N639:N676),"")</f>
        <v/>
      </c>
      <c r="R639" s="157" t="str">
        <f>IF(P639&lt;&gt;"",SUMIF(L639:L676,L639,O639:O676),"")</f>
        <v/>
      </c>
    </row>
    <row r="640" spans="1:18" ht="14.25" customHeight="1" x14ac:dyDescent="0.25">
      <c r="A640" s="271" t="s">
        <v>20</v>
      </c>
      <c r="B640" s="256" t="s">
        <v>51</v>
      </c>
      <c r="C640" s="271" t="s">
        <v>10</v>
      </c>
      <c r="D640" s="271" t="s">
        <v>52</v>
      </c>
      <c r="E640" s="362" t="s">
        <v>27</v>
      </c>
      <c r="F640" s="362"/>
      <c r="G640" s="255" t="s">
        <v>28</v>
      </c>
      <c r="H640" s="258">
        <v>1</v>
      </c>
      <c r="I640" s="257">
        <f>SUMIF(L:L,$L640,M:M)</f>
        <v>23.9</v>
      </c>
      <c r="J640" s="257">
        <f t="shared" ref="J640:J648" si="97">TRUNC(H640*I640,2)</f>
        <v>23.9</v>
      </c>
      <c r="L640" s="145">
        <f t="shared" si="89"/>
        <v>73</v>
      </c>
      <c r="M640" s="156" t="str">
        <f t="shared" si="90"/>
        <v/>
      </c>
      <c r="N640" s="157" t="str">
        <f t="shared" si="91"/>
        <v/>
      </c>
      <c r="O640" s="157" t="str">
        <f t="shared" si="92"/>
        <v/>
      </c>
      <c r="P640" s="158" t="str">
        <f t="shared" si="93"/>
        <v xml:space="preserve"> 88309 </v>
      </c>
      <c r="Q640" s="157">
        <f>IF(P640&lt;&gt;"",SUMIF(L640:L676,L640,N640:N676),"")</f>
        <v>17.52</v>
      </c>
      <c r="R640" s="157">
        <f>IF(P640&lt;&gt;"",SUMIF(L640:L676,L640,O640:O676),"")</f>
        <v>6.38</v>
      </c>
    </row>
    <row r="641" spans="1:18" ht="26.4" x14ac:dyDescent="0.25">
      <c r="A641" s="272" t="s">
        <v>22</v>
      </c>
      <c r="B641" s="261" t="s">
        <v>114</v>
      </c>
      <c r="C641" s="272" t="s">
        <v>10</v>
      </c>
      <c r="D641" s="272" t="s">
        <v>78</v>
      </c>
      <c r="E641" s="363" t="s">
        <v>27</v>
      </c>
      <c r="F641" s="363"/>
      <c r="G641" s="260" t="s">
        <v>28</v>
      </c>
      <c r="H641" s="263">
        <v>1</v>
      </c>
      <c r="I641" s="262">
        <f>SUMIFS(J:J,A:A,"Composição",B:B,$B641)</f>
        <v>0.26</v>
      </c>
      <c r="J641" s="262">
        <f t="shared" si="97"/>
        <v>0.26</v>
      </c>
      <c r="L641" s="145">
        <f t="shared" si="89"/>
        <v>73</v>
      </c>
      <c r="M641" s="156">
        <f t="shared" si="90"/>
        <v>0.26</v>
      </c>
      <c r="N641" s="157" t="str">
        <f t="shared" si="91"/>
        <v/>
      </c>
      <c r="O641" s="157">
        <f t="shared" si="92"/>
        <v>0.26</v>
      </c>
      <c r="P641" s="158" t="str">
        <f t="shared" si="93"/>
        <v/>
      </c>
      <c r="Q641" s="157" t="str">
        <f>IF(P641&lt;&gt;"",SUMIF(L641:L676,L641,N641:N676),"")</f>
        <v/>
      </c>
      <c r="R641" s="157" t="str">
        <f>IF(P641&lt;&gt;"",SUMIF(L641:L676,L641,O641:O676),"")</f>
        <v/>
      </c>
    </row>
    <row r="642" spans="1:18" ht="14.25" customHeight="1" x14ac:dyDescent="0.25">
      <c r="A642" s="273" t="s">
        <v>31</v>
      </c>
      <c r="B642" s="265" t="s">
        <v>90</v>
      </c>
      <c r="C642" s="273" t="str">
        <f>VLOOKUP(B642,INSUMOS!$A:$I,2,FALSE)</f>
        <v>SINAPI</v>
      </c>
      <c r="D642" s="273" t="str">
        <f>VLOOKUP(B642,INSUMOS!$A:$I,3,FALSE)</f>
        <v>ALIMENTACAO - HORISTA (COLETADO CAIXA)</v>
      </c>
      <c r="E642" s="361" t="str">
        <f>VLOOKUP(B642,INSUMOS!$A:$I,4,FALSE)</f>
        <v>Outros</v>
      </c>
      <c r="F642" s="361"/>
      <c r="G642" s="264" t="str">
        <f>VLOOKUP(B642,INSUMOS!$A:$I,5,FALSE)</f>
        <v>H</v>
      </c>
      <c r="H642" s="267">
        <v>1</v>
      </c>
      <c r="I642" s="266">
        <f>VLOOKUP(B642,INSUMOS!$A:$I,8,FALSE)</f>
        <v>2.62</v>
      </c>
      <c r="J642" s="266">
        <f t="shared" si="97"/>
        <v>2.62</v>
      </c>
      <c r="L642" s="145">
        <f t="shared" si="89"/>
        <v>73</v>
      </c>
      <c r="M642" s="156">
        <f t="shared" si="90"/>
        <v>2.62</v>
      </c>
      <c r="N642" s="157" t="str">
        <f t="shared" si="91"/>
        <v/>
      </c>
      <c r="O642" s="157">
        <f t="shared" si="92"/>
        <v>2.62</v>
      </c>
      <c r="P642" s="158" t="str">
        <f t="shared" si="93"/>
        <v/>
      </c>
      <c r="Q642" s="157" t="str">
        <f>IF(P642&lt;&gt;"",SUMIF(L642:L676,L642,N642:N676),"")</f>
        <v/>
      </c>
      <c r="R642" s="157" t="str">
        <f>IF(P642&lt;&gt;"",SUMIF(L642:L676,L642,O642:O676),"")</f>
        <v/>
      </c>
    </row>
    <row r="643" spans="1:18" ht="14.25" customHeight="1" x14ac:dyDescent="0.25">
      <c r="A643" s="273" t="s">
        <v>31</v>
      </c>
      <c r="B643" s="265" t="s">
        <v>101</v>
      </c>
      <c r="C643" s="273" t="str">
        <f>VLOOKUP(B643,INSUMOS!$A:$I,2,FALSE)</f>
        <v>SINAPI</v>
      </c>
      <c r="D643" s="273" t="str">
        <f>VLOOKUP(B643,INSUMOS!$A:$I,3,FALSE)</f>
        <v>EPI - FAMILIA PEDREIRO - HORISTA (ENCARGOS COMPLEMENTARES - COLETADO CAIXA)</v>
      </c>
      <c r="E643" s="361" t="str">
        <f>VLOOKUP(B643,INSUMOS!$A:$I,4,FALSE)</f>
        <v>Equipamento</v>
      </c>
      <c r="F643" s="361"/>
      <c r="G643" s="264" t="str">
        <f>VLOOKUP(B643,INSUMOS!$A:$I,5,FALSE)</f>
        <v>H</v>
      </c>
      <c r="H643" s="267">
        <v>1</v>
      </c>
      <c r="I643" s="266">
        <f>VLOOKUP(B643,INSUMOS!$A:$I,8,FALSE)</f>
        <v>0.95</v>
      </c>
      <c r="J643" s="266">
        <f t="shared" si="97"/>
        <v>0.95</v>
      </c>
      <c r="L643" s="145">
        <f t="shared" si="89"/>
        <v>73</v>
      </c>
      <c r="M643" s="156">
        <f t="shared" si="90"/>
        <v>0.95</v>
      </c>
      <c r="N643" s="157" t="str">
        <f t="shared" si="91"/>
        <v/>
      </c>
      <c r="O643" s="157">
        <f t="shared" si="92"/>
        <v>0.95</v>
      </c>
      <c r="P643" s="158" t="str">
        <f t="shared" si="93"/>
        <v/>
      </c>
      <c r="Q643" s="157" t="str">
        <f>IF(P643&lt;&gt;"",SUMIF(L643:L676,L643,N643:N676),"")</f>
        <v/>
      </c>
      <c r="R643" s="157" t="str">
        <f>IF(P643&lt;&gt;"",SUMIF(L643:L676,L643,O643:O676),"")</f>
        <v/>
      </c>
    </row>
    <row r="644" spans="1:18" x14ac:dyDescent="0.25">
      <c r="A644" s="273" t="s">
        <v>31</v>
      </c>
      <c r="B644" s="265" t="s">
        <v>92</v>
      </c>
      <c r="C644" s="273" t="str">
        <f>VLOOKUP(B644,INSUMOS!$A:$I,2,FALSE)</f>
        <v>SINAPI</v>
      </c>
      <c r="D644" s="273" t="str">
        <f>VLOOKUP(B644,INSUMOS!$A:$I,3,FALSE)</f>
        <v>EXAMES - HORISTA (COLETADO CAIXA)</v>
      </c>
      <c r="E644" s="361" t="str">
        <f>VLOOKUP(B644,INSUMOS!$A:$I,4,FALSE)</f>
        <v>Outros</v>
      </c>
      <c r="F644" s="361"/>
      <c r="G644" s="264" t="str">
        <f>VLOOKUP(B644,INSUMOS!$A:$I,5,FALSE)</f>
        <v>H</v>
      </c>
      <c r="H644" s="267">
        <v>1</v>
      </c>
      <c r="I644" s="266">
        <f>VLOOKUP(B644,INSUMOS!$A:$I,8,FALSE)</f>
        <v>0.55000000000000004</v>
      </c>
      <c r="J644" s="266">
        <f t="shared" si="97"/>
        <v>0.55000000000000004</v>
      </c>
      <c r="L644" s="145">
        <f t="shared" si="89"/>
        <v>73</v>
      </c>
      <c r="M644" s="156">
        <f t="shared" si="90"/>
        <v>0.55000000000000004</v>
      </c>
      <c r="N644" s="157" t="str">
        <f t="shared" si="91"/>
        <v/>
      </c>
      <c r="O644" s="157">
        <f t="shared" si="92"/>
        <v>0.55000000000000004</v>
      </c>
      <c r="P644" s="158" t="str">
        <f t="shared" si="93"/>
        <v/>
      </c>
      <c r="Q644" s="157" t="str">
        <f>IF(P644&lt;&gt;"",SUMIF(L644:L676,L644,N644:N676),"")</f>
        <v/>
      </c>
      <c r="R644" s="157" t="str">
        <f>IF(P644&lt;&gt;"",SUMIF(L644:L676,L644,O644:O676),"")</f>
        <v/>
      </c>
    </row>
    <row r="645" spans="1:18" ht="15" customHeight="1" x14ac:dyDescent="0.25">
      <c r="A645" s="273" t="s">
        <v>31</v>
      </c>
      <c r="B645" s="265" t="s">
        <v>102</v>
      </c>
      <c r="C645" s="273" t="str">
        <f>VLOOKUP(B645,INSUMOS!$A:$I,2,FALSE)</f>
        <v>SINAPI</v>
      </c>
      <c r="D645" s="273" t="str">
        <f>VLOOKUP(B645,INSUMOS!$A:$I,3,FALSE)</f>
        <v>FERRAMENTAS - FAMILIA PEDREIRO - HORISTA (ENCARGOS COMPLEMENTARES - COLETADO CAIXA)</v>
      </c>
      <c r="E645" s="361" t="str">
        <f>VLOOKUP(B645,INSUMOS!$A:$I,4,FALSE)</f>
        <v>Equipamento</v>
      </c>
      <c r="F645" s="361"/>
      <c r="G645" s="264" t="str">
        <f>VLOOKUP(B645,INSUMOS!$A:$I,5,FALSE)</f>
        <v>H</v>
      </c>
      <c r="H645" s="267">
        <v>1</v>
      </c>
      <c r="I645" s="266">
        <f>VLOOKUP(B645,INSUMOS!$A:$I,8,FALSE)</f>
        <v>0.57999999999999996</v>
      </c>
      <c r="J645" s="266">
        <f t="shared" si="97"/>
        <v>0.57999999999999996</v>
      </c>
      <c r="L645" s="145">
        <f t="shared" si="89"/>
        <v>73</v>
      </c>
      <c r="M645" s="156">
        <f t="shared" si="90"/>
        <v>0.57999999999999996</v>
      </c>
      <c r="N645" s="157" t="str">
        <f t="shared" si="91"/>
        <v/>
      </c>
      <c r="O645" s="157">
        <f t="shared" si="92"/>
        <v>0.57999999999999996</v>
      </c>
      <c r="P645" s="158" t="str">
        <f t="shared" si="93"/>
        <v/>
      </c>
      <c r="Q645" s="157" t="str">
        <f>IF(P645&lt;&gt;"",SUMIF(L645:L676,L645,N645:N676),"")</f>
        <v/>
      </c>
      <c r="R645" s="157" t="str">
        <f>IF(P645&lt;&gt;"",SUMIF(L645:L676,L645,O645:O676),"")</f>
        <v/>
      </c>
    </row>
    <row r="646" spans="1:18" x14ac:dyDescent="0.25">
      <c r="A646" s="273" t="s">
        <v>31</v>
      </c>
      <c r="B646" s="265" t="s">
        <v>115</v>
      </c>
      <c r="C646" s="273" t="str">
        <f>VLOOKUP(B646,INSUMOS!$A:$I,2,FALSE)</f>
        <v>SINAPI</v>
      </c>
      <c r="D646" s="273" t="str">
        <f>VLOOKUP(B646,INSUMOS!$A:$I,3,FALSE)</f>
        <v>PEDREIRO</v>
      </c>
      <c r="E646" s="361" t="str">
        <f>VLOOKUP(B646,INSUMOS!$A:$I,4,FALSE)</f>
        <v>Mão de Obra</v>
      </c>
      <c r="F646" s="361"/>
      <c r="G646" s="264" t="str">
        <f>VLOOKUP(B646,INSUMOS!$A:$I,5,FALSE)</f>
        <v>H</v>
      </c>
      <c r="H646" s="267">
        <v>1</v>
      </c>
      <c r="I646" s="266">
        <f>VLOOKUP(B646,INSUMOS!$A:$I,8,FALSE)</f>
        <v>17.52</v>
      </c>
      <c r="J646" s="266">
        <f t="shared" si="97"/>
        <v>17.52</v>
      </c>
      <c r="L646" s="145">
        <f t="shared" si="89"/>
        <v>73</v>
      </c>
      <c r="M646" s="156">
        <f t="shared" si="90"/>
        <v>17.52</v>
      </c>
      <c r="N646" s="157">
        <f t="shared" si="91"/>
        <v>17.52</v>
      </c>
      <c r="O646" s="157" t="str">
        <f t="shared" si="92"/>
        <v/>
      </c>
      <c r="P646" s="158" t="str">
        <f t="shared" si="93"/>
        <v/>
      </c>
      <c r="Q646" s="157" t="str">
        <f>IF(P646&lt;&gt;"",SUMIF(L646:L676,L646,N646:N676),"")</f>
        <v/>
      </c>
      <c r="R646" s="157" t="str">
        <f>IF(P646&lt;&gt;"",SUMIF(L646:L676,L646,O646:O676),"")</f>
        <v/>
      </c>
    </row>
    <row r="647" spans="1:18" x14ac:dyDescent="0.25">
      <c r="A647" s="273" t="s">
        <v>31</v>
      </c>
      <c r="B647" s="265" t="s">
        <v>94</v>
      </c>
      <c r="C647" s="273" t="str">
        <f>VLOOKUP(B647,INSUMOS!$A:$I,2,FALSE)</f>
        <v>SINAPI</v>
      </c>
      <c r="D647" s="273" t="str">
        <f>VLOOKUP(B647,INSUMOS!$A:$I,3,FALSE)</f>
        <v>SEGURO - HORISTA (COLETADO CAIXA)</v>
      </c>
      <c r="E647" s="361" t="str">
        <f>VLOOKUP(B647,INSUMOS!$A:$I,4,FALSE)</f>
        <v>Taxas</v>
      </c>
      <c r="F647" s="361"/>
      <c r="G647" s="264" t="str">
        <f>VLOOKUP(B647,INSUMOS!$A:$I,5,FALSE)</f>
        <v>H</v>
      </c>
      <c r="H647" s="267">
        <v>1</v>
      </c>
      <c r="I647" s="266">
        <f>VLOOKUP(B647,INSUMOS!$A:$I,8,FALSE)</f>
        <v>0.06</v>
      </c>
      <c r="J647" s="266">
        <f t="shared" si="97"/>
        <v>0.06</v>
      </c>
      <c r="L647" s="145">
        <f t="shared" si="89"/>
        <v>73</v>
      </c>
      <c r="M647" s="156">
        <f t="shared" si="90"/>
        <v>0.06</v>
      </c>
      <c r="N647" s="157" t="str">
        <f t="shared" si="91"/>
        <v/>
      </c>
      <c r="O647" s="157">
        <f t="shared" si="92"/>
        <v>0.06</v>
      </c>
      <c r="P647" s="158" t="str">
        <f t="shared" si="93"/>
        <v/>
      </c>
      <c r="Q647" s="157" t="str">
        <f>IF(P647&lt;&gt;"",SUMIF(L647:L676,L647,N647:N676),"")</f>
        <v/>
      </c>
      <c r="R647" s="157" t="str">
        <f>IF(P647&lt;&gt;"",SUMIF(L647:L676,L647,O647:O676),"")</f>
        <v/>
      </c>
    </row>
    <row r="648" spans="1:18" ht="25.5" customHeight="1" x14ac:dyDescent="0.25">
      <c r="A648" s="273" t="s">
        <v>31</v>
      </c>
      <c r="B648" s="265" t="s">
        <v>95</v>
      </c>
      <c r="C648" s="273" t="str">
        <f>VLOOKUP(B648,INSUMOS!$A:$I,2,FALSE)</f>
        <v>SINAPI</v>
      </c>
      <c r="D648" s="273" t="str">
        <f>VLOOKUP(B648,INSUMOS!$A:$I,3,FALSE)</f>
        <v>TRANSPORTE - HORISTA (COLETADO CAIXA)</v>
      </c>
      <c r="E648" s="361" t="str">
        <f>VLOOKUP(B648,INSUMOS!$A:$I,4,FALSE)</f>
        <v>Serviços</v>
      </c>
      <c r="F648" s="361"/>
      <c r="G648" s="264" t="str">
        <f>VLOOKUP(B648,INSUMOS!$A:$I,5,FALSE)</f>
        <v>H</v>
      </c>
      <c r="H648" s="267">
        <v>1</v>
      </c>
      <c r="I648" s="266">
        <f>VLOOKUP(B648,INSUMOS!$A:$I,8,FALSE)</f>
        <v>1.36</v>
      </c>
      <c r="J648" s="266">
        <f t="shared" si="97"/>
        <v>1.36</v>
      </c>
      <c r="L648" s="145">
        <f t="shared" si="89"/>
        <v>73</v>
      </c>
      <c r="M648" s="156">
        <f t="shared" si="90"/>
        <v>1.36</v>
      </c>
      <c r="N648" s="157" t="str">
        <f t="shared" si="91"/>
        <v/>
      </c>
      <c r="O648" s="157">
        <f t="shared" si="92"/>
        <v>1.36</v>
      </c>
      <c r="P648" s="158" t="str">
        <f t="shared" si="93"/>
        <v/>
      </c>
      <c r="Q648" s="157" t="str">
        <f>IF(P648&lt;&gt;"",SUMIF(L648:L676,L648,N648:N676),"")</f>
        <v/>
      </c>
      <c r="R648" s="157" t="str">
        <f>IF(P648&lt;&gt;"",SUMIF(L648:L676,L648,O648:O676),"")</f>
        <v/>
      </c>
    </row>
    <row r="649" spans="1:18" ht="25.5" customHeight="1" x14ac:dyDescent="0.25">
      <c r="A649" s="274"/>
      <c r="B649" s="274"/>
      <c r="C649" s="274"/>
      <c r="D649" s="274"/>
      <c r="E649" s="274"/>
      <c r="F649" s="268"/>
      <c r="G649" s="274"/>
      <c r="H649" s="268"/>
      <c r="I649" s="274"/>
      <c r="J649" s="268"/>
      <c r="L649" s="145">
        <f t="shared" si="89"/>
        <v>73</v>
      </c>
      <c r="M649" s="156" t="str">
        <f t="shared" si="90"/>
        <v/>
      </c>
      <c r="N649" s="157" t="str">
        <f t="shared" si="91"/>
        <v/>
      </c>
      <c r="O649" s="157" t="str">
        <f t="shared" si="92"/>
        <v/>
      </c>
      <c r="P649" s="158" t="str">
        <f t="shared" si="93"/>
        <v/>
      </c>
      <c r="Q649" s="157" t="str">
        <f>IF(P649&lt;&gt;"",SUMIF(L649:L676,L649,N649:N676),"")</f>
        <v/>
      </c>
      <c r="R649" s="157" t="str">
        <f>IF(P649&lt;&gt;"",SUMIF(L649:L676,L649,O649:O676),"")</f>
        <v/>
      </c>
    </row>
    <row r="650" spans="1:18" ht="25.5" customHeight="1" thickBot="1" x14ac:dyDescent="0.3">
      <c r="A650" s="274"/>
      <c r="B650" s="274"/>
      <c r="C650" s="274"/>
      <c r="D650" s="274"/>
      <c r="E650" s="274"/>
      <c r="F650" s="268"/>
      <c r="G650" s="274"/>
      <c r="H650" s="350"/>
      <c r="I650" s="350"/>
      <c r="J650" s="268"/>
      <c r="L650" s="145">
        <f t="shared" si="89"/>
        <v>73</v>
      </c>
      <c r="M650" s="156" t="str">
        <f t="shared" si="90"/>
        <v/>
      </c>
      <c r="N650" s="157" t="str">
        <f t="shared" si="91"/>
        <v/>
      </c>
      <c r="O650" s="157" t="str">
        <f t="shared" si="92"/>
        <v/>
      </c>
      <c r="P650" s="158" t="str">
        <f t="shared" si="93"/>
        <v/>
      </c>
      <c r="Q650" s="157" t="str">
        <f>IF(P650&lt;&gt;"",SUMIF(L650:L676,L650,N650:N676),"")</f>
        <v/>
      </c>
      <c r="R650" s="157" t="str">
        <f>IF(P650&lt;&gt;"",SUMIF(L650:L676,L650,O650:O676),"")</f>
        <v/>
      </c>
    </row>
    <row r="651" spans="1:18" ht="14.4" thickTop="1" x14ac:dyDescent="0.25">
      <c r="A651" s="259"/>
      <c r="B651" s="259"/>
      <c r="C651" s="259"/>
      <c r="D651" s="259"/>
      <c r="E651" s="259"/>
      <c r="F651" s="259"/>
      <c r="G651" s="259"/>
      <c r="H651" s="259"/>
      <c r="I651" s="259"/>
      <c r="J651" s="259"/>
      <c r="L651" s="145">
        <f t="shared" si="89"/>
        <v>73</v>
      </c>
      <c r="M651" s="156" t="str">
        <f t="shared" si="90"/>
        <v/>
      </c>
      <c r="N651" s="157" t="str">
        <f t="shared" si="91"/>
        <v/>
      </c>
      <c r="O651" s="157" t="str">
        <f t="shared" si="92"/>
        <v/>
      </c>
      <c r="P651" s="158" t="str">
        <f t="shared" si="93"/>
        <v/>
      </c>
      <c r="Q651" s="157" t="str">
        <f>IF(P651&lt;&gt;"",SUMIF(L651:L676,L651,N651:N676),"")</f>
        <v/>
      </c>
      <c r="R651" s="157" t="str">
        <f>IF(P651&lt;&gt;"",SUMIF(L651:L676,L651,O651:O676),"")</f>
        <v/>
      </c>
    </row>
    <row r="652" spans="1:18" ht="15" customHeight="1" x14ac:dyDescent="0.25">
      <c r="A652" s="270"/>
      <c r="B652" s="254" t="s">
        <v>1</v>
      </c>
      <c r="C652" s="270" t="s">
        <v>2</v>
      </c>
      <c r="D652" s="270" t="s">
        <v>3</v>
      </c>
      <c r="E652" s="347" t="s">
        <v>19</v>
      </c>
      <c r="F652" s="347"/>
      <c r="G652" s="253" t="s">
        <v>4</v>
      </c>
      <c r="H652" s="254" t="s">
        <v>5</v>
      </c>
      <c r="I652" s="254" t="s">
        <v>6</v>
      </c>
      <c r="J652" s="254" t="s">
        <v>7</v>
      </c>
      <c r="L652" s="145">
        <f t="shared" si="89"/>
        <v>74</v>
      </c>
      <c r="M652" s="156" t="str">
        <f t="shared" si="90"/>
        <v/>
      </c>
      <c r="N652" s="157" t="str">
        <f t="shared" si="91"/>
        <v/>
      </c>
      <c r="O652" s="157" t="str">
        <f t="shared" si="92"/>
        <v/>
      </c>
      <c r="P652" s="158" t="str">
        <f t="shared" si="93"/>
        <v/>
      </c>
      <c r="Q652" s="157" t="str">
        <f>IF(P652&lt;&gt;"",SUMIF(L652:L676,L652,N652:N676),"")</f>
        <v/>
      </c>
      <c r="R652" s="157" t="str">
        <f>IF(P652&lt;&gt;"",SUMIF(L652:L676,L652,O652:O676),"")</f>
        <v/>
      </c>
    </row>
    <row r="653" spans="1:18" x14ac:dyDescent="0.25">
      <c r="A653" s="271" t="s">
        <v>20</v>
      </c>
      <c r="B653" s="256" t="s">
        <v>53</v>
      </c>
      <c r="C653" s="271" t="s">
        <v>10</v>
      </c>
      <c r="D653" s="271" t="s">
        <v>54</v>
      </c>
      <c r="E653" s="362" t="s">
        <v>27</v>
      </c>
      <c r="F653" s="362"/>
      <c r="G653" s="255" t="s">
        <v>28</v>
      </c>
      <c r="H653" s="258">
        <v>1</v>
      </c>
      <c r="I653" s="257">
        <f>SUMIF(L:L,$L653,M:M)</f>
        <v>24.889999999999997</v>
      </c>
      <c r="J653" s="257">
        <f t="shared" ref="J653:J661" si="98">TRUNC(H653*I653,2)</f>
        <v>24.89</v>
      </c>
      <c r="L653" s="145">
        <f t="shared" si="89"/>
        <v>74</v>
      </c>
      <c r="M653" s="156" t="str">
        <f t="shared" si="90"/>
        <v/>
      </c>
      <c r="N653" s="157" t="str">
        <f t="shared" si="91"/>
        <v/>
      </c>
      <c r="O653" s="157" t="str">
        <f t="shared" si="92"/>
        <v/>
      </c>
      <c r="P653" s="158" t="str">
        <f t="shared" si="93"/>
        <v xml:space="preserve"> 88310 </v>
      </c>
      <c r="Q653" s="157">
        <f>IF(P653&lt;&gt;"",SUMIF(L653:L676,L653,N653:N676),"")</f>
        <v>17.52</v>
      </c>
      <c r="R653" s="157">
        <f>IF(P653&lt;&gt;"",SUMIF(L653:L676,L653,O653:O676),"")</f>
        <v>7.370000000000001</v>
      </c>
    </row>
    <row r="654" spans="1:18" ht="38.25" customHeight="1" x14ac:dyDescent="0.25">
      <c r="A654" s="272" t="s">
        <v>22</v>
      </c>
      <c r="B654" s="261" t="s">
        <v>116</v>
      </c>
      <c r="C654" s="272" t="s">
        <v>10</v>
      </c>
      <c r="D654" s="272" t="s">
        <v>77</v>
      </c>
      <c r="E654" s="363" t="s">
        <v>27</v>
      </c>
      <c r="F654" s="363"/>
      <c r="G654" s="260" t="s">
        <v>28</v>
      </c>
      <c r="H654" s="263">
        <v>1</v>
      </c>
      <c r="I654" s="262">
        <f>SUMIFS(J:J,A:A,"Composição",B:B,$B654)</f>
        <v>0.18</v>
      </c>
      <c r="J654" s="262">
        <f t="shared" si="98"/>
        <v>0.18</v>
      </c>
      <c r="L654" s="145">
        <f t="shared" si="89"/>
        <v>74</v>
      </c>
      <c r="M654" s="156">
        <f t="shared" si="90"/>
        <v>0.18</v>
      </c>
      <c r="N654" s="157" t="str">
        <f t="shared" si="91"/>
        <v/>
      </c>
      <c r="O654" s="157">
        <f t="shared" si="92"/>
        <v>0.18</v>
      </c>
      <c r="P654" s="158" t="str">
        <f t="shared" si="93"/>
        <v/>
      </c>
      <c r="Q654" s="157" t="str">
        <f>IF(P654&lt;&gt;"",SUMIF(L654:L676,L654,N654:N676),"")</f>
        <v/>
      </c>
      <c r="R654" s="157" t="str">
        <f>IF(P654&lt;&gt;"",SUMIF(L654:L676,L654,O654:O676),"")</f>
        <v/>
      </c>
    </row>
    <row r="655" spans="1:18" ht="14.25" customHeight="1" x14ac:dyDescent="0.25">
      <c r="A655" s="273" t="s">
        <v>31</v>
      </c>
      <c r="B655" s="265" t="s">
        <v>90</v>
      </c>
      <c r="C655" s="273" t="str">
        <f>VLOOKUP(B655,INSUMOS!$A:$I,2,FALSE)</f>
        <v>SINAPI</v>
      </c>
      <c r="D655" s="273" t="str">
        <f>VLOOKUP(B655,INSUMOS!$A:$I,3,FALSE)</f>
        <v>ALIMENTACAO - HORISTA (COLETADO CAIXA)</v>
      </c>
      <c r="E655" s="361" t="str">
        <f>VLOOKUP(B655,INSUMOS!$A:$I,4,FALSE)</f>
        <v>Outros</v>
      </c>
      <c r="F655" s="361"/>
      <c r="G655" s="264" t="str">
        <f>VLOOKUP(B655,INSUMOS!$A:$I,5,FALSE)</f>
        <v>H</v>
      </c>
      <c r="H655" s="267">
        <v>1</v>
      </c>
      <c r="I655" s="266">
        <f>VLOOKUP(B655,INSUMOS!$A:$I,8,FALSE)</f>
        <v>2.62</v>
      </c>
      <c r="J655" s="266">
        <f t="shared" si="98"/>
        <v>2.62</v>
      </c>
      <c r="L655" s="145">
        <f t="shared" si="89"/>
        <v>74</v>
      </c>
      <c r="M655" s="156">
        <f t="shared" si="90"/>
        <v>2.62</v>
      </c>
      <c r="N655" s="157" t="str">
        <f t="shared" si="91"/>
        <v/>
      </c>
      <c r="O655" s="157">
        <f t="shared" si="92"/>
        <v>2.62</v>
      </c>
      <c r="P655" s="158" t="str">
        <f t="shared" si="93"/>
        <v/>
      </c>
      <c r="Q655" s="157" t="str">
        <f>IF(P655&lt;&gt;"",SUMIF(L655:L676,L655,N655:N676),"")</f>
        <v/>
      </c>
      <c r="R655" s="157" t="str">
        <f>IF(P655&lt;&gt;"",SUMIF(L655:L676,L655,O655:O676),"")</f>
        <v/>
      </c>
    </row>
    <row r="656" spans="1:18" ht="15" customHeight="1" x14ac:dyDescent="0.25">
      <c r="A656" s="273" t="s">
        <v>31</v>
      </c>
      <c r="B656" s="265" t="s">
        <v>122</v>
      </c>
      <c r="C656" s="273" t="str">
        <f>VLOOKUP(B656,INSUMOS!$A:$I,2,FALSE)</f>
        <v>SINAPI</v>
      </c>
      <c r="D656" s="273" t="str">
        <f>VLOOKUP(B656,INSUMOS!$A:$I,3,FALSE)</f>
        <v>EPI - FAMILIA PINTOR - HORISTA (ENCARGOS COMPLEMENTARES - COLETADO CAIXA)</v>
      </c>
      <c r="E656" s="361" t="str">
        <f>VLOOKUP(B656,INSUMOS!$A:$I,4,FALSE)</f>
        <v>Equipamento</v>
      </c>
      <c r="F656" s="361"/>
      <c r="G656" s="264" t="str">
        <f>VLOOKUP(B656,INSUMOS!$A:$I,5,FALSE)</f>
        <v>H</v>
      </c>
      <c r="H656" s="267">
        <v>1</v>
      </c>
      <c r="I656" s="266">
        <f>VLOOKUP(B656,INSUMOS!$A:$I,8,FALSE)</f>
        <v>1.33</v>
      </c>
      <c r="J656" s="266">
        <f t="shared" si="98"/>
        <v>1.33</v>
      </c>
      <c r="L656" s="145">
        <f t="shared" si="89"/>
        <v>74</v>
      </c>
      <c r="M656" s="156">
        <f t="shared" si="90"/>
        <v>1.33</v>
      </c>
      <c r="N656" s="157" t="str">
        <f t="shared" si="91"/>
        <v/>
      </c>
      <c r="O656" s="157">
        <f t="shared" si="92"/>
        <v>1.33</v>
      </c>
      <c r="P656" s="158" t="str">
        <f t="shared" si="93"/>
        <v/>
      </c>
      <c r="Q656" s="157" t="str">
        <f>IF(P656&lt;&gt;"",SUMIF(L656:L676,L656,N656:N676),"")</f>
        <v/>
      </c>
      <c r="R656" s="157" t="str">
        <f>IF(P656&lt;&gt;"",SUMIF(L656:L676,L656,O656:O676),"")</f>
        <v/>
      </c>
    </row>
    <row r="657" spans="1:18" x14ac:dyDescent="0.25">
      <c r="A657" s="273" t="s">
        <v>31</v>
      </c>
      <c r="B657" s="265" t="s">
        <v>92</v>
      </c>
      <c r="C657" s="273" t="str">
        <f>VLOOKUP(B657,INSUMOS!$A:$I,2,FALSE)</f>
        <v>SINAPI</v>
      </c>
      <c r="D657" s="273" t="str">
        <f>VLOOKUP(B657,INSUMOS!$A:$I,3,FALSE)</f>
        <v>EXAMES - HORISTA (COLETADO CAIXA)</v>
      </c>
      <c r="E657" s="361" t="str">
        <f>VLOOKUP(B657,INSUMOS!$A:$I,4,FALSE)</f>
        <v>Outros</v>
      </c>
      <c r="F657" s="361"/>
      <c r="G657" s="264" t="str">
        <f>VLOOKUP(B657,INSUMOS!$A:$I,5,FALSE)</f>
        <v>H</v>
      </c>
      <c r="H657" s="267">
        <v>1</v>
      </c>
      <c r="I657" s="266">
        <f>VLOOKUP(B657,INSUMOS!$A:$I,8,FALSE)</f>
        <v>0.55000000000000004</v>
      </c>
      <c r="J657" s="266">
        <f t="shared" si="98"/>
        <v>0.55000000000000004</v>
      </c>
      <c r="L657" s="145">
        <f t="shared" ref="L657:L675" si="99">IF(AND(A658&lt;&gt;"",A657=""),L656+1,L656)</f>
        <v>74</v>
      </c>
      <c r="M657" s="156">
        <f t="shared" ref="M657:M676" si="100">IF(OR(A657="Insumo",A657="Composição Auxiliar"),J657,"")</f>
        <v>0.55000000000000004</v>
      </c>
      <c r="N657" s="157" t="str">
        <f t="shared" ref="N657:N676" si="101">IF(E657="Mão de Obra",J657,"")</f>
        <v/>
      </c>
      <c r="O657" s="157">
        <f t="shared" ref="O657:O676" si="102">IF(N657&lt;&gt;"","",M657)</f>
        <v>0.55000000000000004</v>
      </c>
      <c r="P657" s="158" t="str">
        <f t="shared" ref="P657:P676" si="103">IF(A657="Composição",B657,"")</f>
        <v/>
      </c>
      <c r="Q657" s="157" t="str">
        <f>IF(P657&lt;&gt;"",SUMIF(L657:L676,L657,N657:N676),"")</f>
        <v/>
      </c>
      <c r="R657" s="157" t="str">
        <f>IF(P657&lt;&gt;"",SUMIF(L657:L676,L657,O657:O676),"")</f>
        <v/>
      </c>
    </row>
    <row r="658" spans="1:18" ht="26.4" x14ac:dyDescent="0.25">
      <c r="A658" s="273" t="s">
        <v>31</v>
      </c>
      <c r="B658" s="265" t="s">
        <v>123</v>
      </c>
      <c r="C658" s="273" t="str">
        <f>VLOOKUP(B658,INSUMOS!$A:$I,2,FALSE)</f>
        <v>SINAPI</v>
      </c>
      <c r="D658" s="273" t="str">
        <f>VLOOKUP(B658,INSUMOS!$A:$I,3,FALSE)</f>
        <v>FERRAMENTAS - FAMILIA PINTOR - HORISTA (ENCARGOS COMPLEMENTARES - COLETADO CAIXA)</v>
      </c>
      <c r="E658" s="361" t="str">
        <f>VLOOKUP(B658,INSUMOS!$A:$I,4,FALSE)</f>
        <v>Equipamento</v>
      </c>
      <c r="F658" s="361"/>
      <c r="G658" s="264" t="str">
        <f>VLOOKUP(B658,INSUMOS!$A:$I,5,FALSE)</f>
        <v>H</v>
      </c>
      <c r="H658" s="267">
        <v>1</v>
      </c>
      <c r="I658" s="266">
        <f>VLOOKUP(B658,INSUMOS!$A:$I,8,FALSE)</f>
        <v>1.27</v>
      </c>
      <c r="J658" s="266">
        <f t="shared" si="98"/>
        <v>1.27</v>
      </c>
      <c r="L658" s="145">
        <f t="shared" si="99"/>
        <v>74</v>
      </c>
      <c r="M658" s="156">
        <f t="shared" si="100"/>
        <v>1.27</v>
      </c>
      <c r="N658" s="157" t="str">
        <f t="shared" si="101"/>
        <v/>
      </c>
      <c r="O658" s="157">
        <f t="shared" si="102"/>
        <v>1.27</v>
      </c>
      <c r="P658" s="158" t="str">
        <f t="shared" si="103"/>
        <v/>
      </c>
      <c r="Q658" s="157" t="str">
        <f>IF(P658&lt;&gt;"",SUMIF(L658:L676,L658,N658:N676),"")</f>
        <v/>
      </c>
      <c r="R658" s="157" t="str">
        <f>IF(P658&lt;&gt;"",SUMIF(L658:L676,L658,O658:O676),"")</f>
        <v/>
      </c>
    </row>
    <row r="659" spans="1:18" ht="25.5" customHeight="1" x14ac:dyDescent="0.25">
      <c r="A659" s="273" t="s">
        <v>31</v>
      </c>
      <c r="B659" s="265" t="s">
        <v>117</v>
      </c>
      <c r="C659" s="273" t="str">
        <f>VLOOKUP(B659,INSUMOS!$A:$I,2,FALSE)</f>
        <v>SINAPI</v>
      </c>
      <c r="D659" s="273" t="str">
        <f>VLOOKUP(B659,INSUMOS!$A:$I,3,FALSE)</f>
        <v>PINTOR</v>
      </c>
      <c r="E659" s="361" t="str">
        <f>VLOOKUP(B659,INSUMOS!$A:$I,4,FALSE)</f>
        <v>Mão de Obra</v>
      </c>
      <c r="F659" s="361"/>
      <c r="G659" s="264" t="str">
        <f>VLOOKUP(B659,INSUMOS!$A:$I,5,FALSE)</f>
        <v>H</v>
      </c>
      <c r="H659" s="267">
        <v>1</v>
      </c>
      <c r="I659" s="266">
        <f>VLOOKUP(B659,INSUMOS!$A:$I,8,FALSE)</f>
        <v>17.52</v>
      </c>
      <c r="J659" s="266">
        <f t="shared" si="98"/>
        <v>17.52</v>
      </c>
      <c r="L659" s="145">
        <f t="shared" si="99"/>
        <v>74</v>
      </c>
      <c r="M659" s="156">
        <f t="shared" si="100"/>
        <v>17.52</v>
      </c>
      <c r="N659" s="157">
        <f t="shared" si="101"/>
        <v>17.52</v>
      </c>
      <c r="O659" s="157" t="str">
        <f t="shared" si="102"/>
        <v/>
      </c>
      <c r="P659" s="158" t="str">
        <f t="shared" si="103"/>
        <v/>
      </c>
      <c r="Q659" s="157" t="str">
        <f>IF(P659&lt;&gt;"",SUMIF(L659:L676,L659,N659:N676),"")</f>
        <v/>
      </c>
      <c r="R659" s="157" t="str">
        <f>IF(P659&lt;&gt;"",SUMIF(L659:L676,L659,O659:O676),"")</f>
        <v/>
      </c>
    </row>
    <row r="660" spans="1:18" ht="38.25" customHeight="1" x14ac:dyDescent="0.25">
      <c r="A660" s="273" t="s">
        <v>31</v>
      </c>
      <c r="B660" s="265" t="s">
        <v>94</v>
      </c>
      <c r="C660" s="273" t="str">
        <f>VLOOKUP(B660,INSUMOS!$A:$I,2,FALSE)</f>
        <v>SINAPI</v>
      </c>
      <c r="D660" s="273" t="str">
        <f>VLOOKUP(B660,INSUMOS!$A:$I,3,FALSE)</f>
        <v>SEGURO - HORISTA (COLETADO CAIXA)</v>
      </c>
      <c r="E660" s="361" t="str">
        <f>VLOOKUP(B660,INSUMOS!$A:$I,4,FALSE)</f>
        <v>Taxas</v>
      </c>
      <c r="F660" s="361"/>
      <c r="G660" s="264" t="str">
        <f>VLOOKUP(B660,INSUMOS!$A:$I,5,FALSE)</f>
        <v>H</v>
      </c>
      <c r="H660" s="267">
        <v>1</v>
      </c>
      <c r="I660" s="266">
        <f>VLOOKUP(B660,INSUMOS!$A:$I,8,FALSE)</f>
        <v>0.06</v>
      </c>
      <c r="J660" s="266">
        <f t="shared" si="98"/>
        <v>0.06</v>
      </c>
      <c r="L660" s="145">
        <f t="shared" si="99"/>
        <v>74</v>
      </c>
      <c r="M660" s="156">
        <f t="shared" si="100"/>
        <v>0.06</v>
      </c>
      <c r="N660" s="157" t="str">
        <f t="shared" si="101"/>
        <v/>
      </c>
      <c r="O660" s="157">
        <f t="shared" si="102"/>
        <v>0.06</v>
      </c>
      <c r="P660" s="158" t="str">
        <f t="shared" si="103"/>
        <v/>
      </c>
      <c r="Q660" s="157" t="str">
        <f>IF(P660&lt;&gt;"",SUMIF(L660:L676,L660,N660:N676),"")</f>
        <v/>
      </c>
      <c r="R660" s="157" t="str">
        <f>IF(P660&lt;&gt;"",SUMIF(L660:L676,L660,O660:O676),"")</f>
        <v/>
      </c>
    </row>
    <row r="661" spans="1:18" ht="15" customHeight="1" x14ac:dyDescent="0.25">
      <c r="A661" s="273" t="s">
        <v>31</v>
      </c>
      <c r="B661" s="265" t="s">
        <v>95</v>
      </c>
      <c r="C661" s="273" t="str">
        <f>VLOOKUP(B661,INSUMOS!$A:$I,2,FALSE)</f>
        <v>SINAPI</v>
      </c>
      <c r="D661" s="273" t="str">
        <f>VLOOKUP(B661,INSUMOS!$A:$I,3,FALSE)</f>
        <v>TRANSPORTE - HORISTA (COLETADO CAIXA)</v>
      </c>
      <c r="E661" s="361" t="str">
        <f>VLOOKUP(B661,INSUMOS!$A:$I,4,FALSE)</f>
        <v>Serviços</v>
      </c>
      <c r="F661" s="361"/>
      <c r="G661" s="264" t="str">
        <f>VLOOKUP(B661,INSUMOS!$A:$I,5,FALSE)</f>
        <v>H</v>
      </c>
      <c r="H661" s="267">
        <v>1</v>
      </c>
      <c r="I661" s="266">
        <f>VLOOKUP(B661,INSUMOS!$A:$I,8,FALSE)</f>
        <v>1.36</v>
      </c>
      <c r="J661" s="266">
        <f t="shared" si="98"/>
        <v>1.36</v>
      </c>
      <c r="L661" s="145">
        <f t="shared" si="99"/>
        <v>74</v>
      </c>
      <c r="M661" s="156">
        <f t="shared" si="100"/>
        <v>1.36</v>
      </c>
      <c r="N661" s="157" t="str">
        <f t="shared" si="101"/>
        <v/>
      </c>
      <c r="O661" s="157">
        <f t="shared" si="102"/>
        <v>1.36</v>
      </c>
      <c r="P661" s="158" t="str">
        <f t="shared" si="103"/>
        <v/>
      </c>
      <c r="Q661" s="157" t="str">
        <f>IF(P661&lt;&gt;"",SUMIF(L661:L676,L661,N661:N676),"")</f>
        <v/>
      </c>
      <c r="R661" s="157" t="str">
        <f>IF(P661&lt;&gt;"",SUMIF(L661:L676,L661,O661:O676),"")</f>
        <v/>
      </c>
    </row>
    <row r="662" spans="1:18" x14ac:dyDescent="0.25">
      <c r="A662" s="274"/>
      <c r="B662" s="274"/>
      <c r="C662" s="274"/>
      <c r="D662" s="274"/>
      <c r="E662" s="274"/>
      <c r="F662" s="268"/>
      <c r="G662" s="274"/>
      <c r="H662" s="268"/>
      <c r="I662" s="274"/>
      <c r="J662" s="268"/>
      <c r="L662" s="145">
        <f t="shared" si="99"/>
        <v>74</v>
      </c>
      <c r="M662" s="156" t="str">
        <f t="shared" si="100"/>
        <v/>
      </c>
      <c r="N662" s="157" t="str">
        <f t="shared" si="101"/>
        <v/>
      </c>
      <c r="O662" s="157" t="str">
        <f t="shared" si="102"/>
        <v/>
      </c>
      <c r="P662" s="158" t="str">
        <f t="shared" si="103"/>
        <v/>
      </c>
      <c r="Q662" s="157" t="str">
        <f>IF(P662&lt;&gt;"",SUMIF(L662:L676,L662,N662:N676),"")</f>
        <v/>
      </c>
      <c r="R662" s="157" t="str">
        <f>IF(P662&lt;&gt;"",SUMIF(L662:L676,L662,O662:O676),"")</f>
        <v/>
      </c>
    </row>
    <row r="663" spans="1:18" ht="14.4" thickBot="1" x14ac:dyDescent="0.3">
      <c r="A663" s="274"/>
      <c r="B663" s="274"/>
      <c r="C663" s="274"/>
      <c r="D663" s="274"/>
      <c r="E663" s="274"/>
      <c r="F663" s="268"/>
      <c r="G663" s="274"/>
      <c r="H663" s="350"/>
      <c r="I663" s="350"/>
      <c r="J663" s="268"/>
      <c r="L663" s="145">
        <f t="shared" si="99"/>
        <v>74</v>
      </c>
      <c r="M663" s="156" t="str">
        <f t="shared" si="100"/>
        <v/>
      </c>
      <c r="N663" s="157" t="str">
        <f t="shared" si="101"/>
        <v/>
      </c>
      <c r="O663" s="157" t="str">
        <f t="shared" si="102"/>
        <v/>
      </c>
      <c r="P663" s="158" t="str">
        <f t="shared" si="103"/>
        <v/>
      </c>
      <c r="Q663" s="157" t="str">
        <f>IF(P663&lt;&gt;"",SUMIF(L663:L676,L663,N663:N676),"")</f>
        <v/>
      </c>
      <c r="R663" s="157" t="str">
        <f>IF(P663&lt;&gt;"",SUMIF(L663:L676,L663,O663:O676),"")</f>
        <v/>
      </c>
    </row>
    <row r="664" spans="1:18" ht="25.5" customHeight="1" thickTop="1" x14ac:dyDescent="0.25">
      <c r="A664" s="259"/>
      <c r="B664" s="259"/>
      <c r="C664" s="259"/>
      <c r="D664" s="259"/>
      <c r="E664" s="259"/>
      <c r="F664" s="259"/>
      <c r="G664" s="259"/>
      <c r="H664" s="259"/>
      <c r="I664" s="259"/>
      <c r="J664" s="259"/>
      <c r="L664" s="145">
        <f t="shared" si="99"/>
        <v>74</v>
      </c>
      <c r="M664" s="156" t="str">
        <f t="shared" si="100"/>
        <v/>
      </c>
      <c r="N664" s="157" t="str">
        <f t="shared" si="101"/>
        <v/>
      </c>
      <c r="O664" s="157" t="str">
        <f t="shared" si="102"/>
        <v/>
      </c>
      <c r="P664" s="158" t="str">
        <f t="shared" si="103"/>
        <v/>
      </c>
      <c r="Q664" s="157" t="str">
        <f>IF(P664&lt;&gt;"",SUMIF(L664:L676,L664,N664:N676),"")</f>
        <v/>
      </c>
      <c r="R664" s="157" t="str">
        <f>IF(P664&lt;&gt;"",SUMIF(L664:L676,L664,O664:O676),"")</f>
        <v/>
      </c>
    </row>
    <row r="665" spans="1:18" ht="15" customHeight="1" x14ac:dyDescent="0.25">
      <c r="A665" s="270"/>
      <c r="B665" s="254" t="s">
        <v>1</v>
      </c>
      <c r="C665" s="270" t="s">
        <v>2</v>
      </c>
      <c r="D665" s="270" t="s">
        <v>3</v>
      </c>
      <c r="E665" s="347" t="s">
        <v>19</v>
      </c>
      <c r="F665" s="347"/>
      <c r="G665" s="253" t="s">
        <v>4</v>
      </c>
      <c r="H665" s="254" t="s">
        <v>5</v>
      </c>
      <c r="I665" s="254" t="s">
        <v>6</v>
      </c>
      <c r="J665" s="254" t="s">
        <v>7</v>
      </c>
      <c r="L665" s="145">
        <f t="shared" si="99"/>
        <v>75</v>
      </c>
      <c r="M665" s="156" t="str">
        <f t="shared" si="100"/>
        <v/>
      </c>
      <c r="N665" s="157" t="str">
        <f t="shared" si="101"/>
        <v/>
      </c>
      <c r="O665" s="157" t="str">
        <f t="shared" si="102"/>
        <v/>
      </c>
      <c r="P665" s="158" t="str">
        <f t="shared" si="103"/>
        <v/>
      </c>
      <c r="Q665" s="157" t="str">
        <f>IF(P665&lt;&gt;"",SUMIF(L665:L676,L665,N665:N676),"")</f>
        <v/>
      </c>
      <c r="R665" s="157" t="str">
        <f>IF(P665&lt;&gt;"",SUMIF(L665:L676,L665,O665:O676),"")</f>
        <v/>
      </c>
    </row>
    <row r="666" spans="1:18" ht="14.25" customHeight="1" x14ac:dyDescent="0.25">
      <c r="A666" s="271" t="s">
        <v>20</v>
      </c>
      <c r="B666" s="256" t="s">
        <v>29</v>
      </c>
      <c r="C666" s="271" t="s">
        <v>10</v>
      </c>
      <c r="D666" s="271" t="s">
        <v>30</v>
      </c>
      <c r="E666" s="362" t="s">
        <v>27</v>
      </c>
      <c r="F666" s="362"/>
      <c r="G666" s="255" t="s">
        <v>28</v>
      </c>
      <c r="H666" s="258">
        <v>1</v>
      </c>
      <c r="I666" s="257">
        <f>SUMIF(L:L,$L666,M:M)</f>
        <v>17.61</v>
      </c>
      <c r="J666" s="257">
        <f t="shared" ref="J666:J674" si="104">TRUNC(H666*I666,2)</f>
        <v>17.61</v>
      </c>
      <c r="L666" s="145">
        <f t="shared" si="99"/>
        <v>75</v>
      </c>
      <c r="M666" s="156" t="str">
        <f t="shared" si="100"/>
        <v/>
      </c>
      <c r="N666" s="157" t="str">
        <f t="shared" si="101"/>
        <v/>
      </c>
      <c r="O666" s="157" t="str">
        <f t="shared" si="102"/>
        <v/>
      </c>
      <c r="P666" s="158" t="str">
        <f t="shared" si="103"/>
        <v xml:space="preserve"> 88316 </v>
      </c>
      <c r="Q666" s="157">
        <f>IF(P666&lt;&gt;"",SUMIF(L666:L676,L666,N666:N676),"")</f>
        <v>11.43</v>
      </c>
      <c r="R666" s="157">
        <f>IF(P666&lt;&gt;"",SUMIF(L666:L676,L666,O666:O676),"")</f>
        <v>6.18</v>
      </c>
    </row>
    <row r="667" spans="1:18" ht="25.5" customHeight="1" x14ac:dyDescent="0.25">
      <c r="A667" s="272" t="s">
        <v>22</v>
      </c>
      <c r="B667" s="261" t="s">
        <v>118</v>
      </c>
      <c r="C667" s="272" t="s">
        <v>10</v>
      </c>
      <c r="D667" s="272" t="s">
        <v>76</v>
      </c>
      <c r="E667" s="363" t="s">
        <v>27</v>
      </c>
      <c r="F667" s="363"/>
      <c r="G667" s="260" t="s">
        <v>28</v>
      </c>
      <c r="H667" s="263">
        <v>1</v>
      </c>
      <c r="I667" s="262">
        <f>SUMIFS(J:J,A:A,"Composição",B:B,$B667)</f>
        <v>0.17</v>
      </c>
      <c r="J667" s="262">
        <f t="shared" si="104"/>
        <v>0.17</v>
      </c>
      <c r="L667" s="145">
        <f t="shared" si="99"/>
        <v>75</v>
      </c>
      <c r="M667" s="156">
        <f t="shared" si="100"/>
        <v>0.17</v>
      </c>
      <c r="N667" s="157" t="str">
        <f t="shared" si="101"/>
        <v/>
      </c>
      <c r="O667" s="157">
        <f t="shared" si="102"/>
        <v>0.17</v>
      </c>
      <c r="P667" s="158" t="str">
        <f t="shared" si="103"/>
        <v/>
      </c>
      <c r="Q667" s="157" t="str">
        <f>IF(P667&lt;&gt;"",SUMIF(L667:L676,L667,N667:N676),"")</f>
        <v/>
      </c>
      <c r="R667" s="157" t="str">
        <f>IF(P667&lt;&gt;"",SUMIF(L667:L676,L667,O667:O676),"")</f>
        <v/>
      </c>
    </row>
    <row r="668" spans="1:18" ht="25.5" customHeight="1" x14ac:dyDescent="0.25">
      <c r="A668" s="273" t="s">
        <v>31</v>
      </c>
      <c r="B668" s="265" t="s">
        <v>90</v>
      </c>
      <c r="C668" s="273" t="str">
        <f>VLOOKUP(B668,INSUMOS!$A:$I,2,FALSE)</f>
        <v>SINAPI</v>
      </c>
      <c r="D668" s="273" t="str">
        <f>VLOOKUP(B668,INSUMOS!$A:$I,3,FALSE)</f>
        <v>ALIMENTACAO - HORISTA (COLETADO CAIXA)</v>
      </c>
      <c r="E668" s="361" t="str">
        <f>VLOOKUP(B668,INSUMOS!$A:$I,4,FALSE)</f>
        <v>Outros</v>
      </c>
      <c r="F668" s="361"/>
      <c r="G668" s="264" t="str">
        <f>VLOOKUP(B668,INSUMOS!$A:$I,5,FALSE)</f>
        <v>H</v>
      </c>
      <c r="H668" s="267">
        <v>1</v>
      </c>
      <c r="I668" s="266">
        <f>VLOOKUP(B668,INSUMOS!$A:$I,8,FALSE)</f>
        <v>2.62</v>
      </c>
      <c r="J668" s="266">
        <f t="shared" si="104"/>
        <v>2.62</v>
      </c>
      <c r="L668" s="145">
        <f t="shared" si="99"/>
        <v>75</v>
      </c>
      <c r="M668" s="156">
        <f t="shared" si="100"/>
        <v>2.62</v>
      </c>
      <c r="N668" s="157" t="str">
        <f t="shared" si="101"/>
        <v/>
      </c>
      <c r="O668" s="157">
        <f t="shared" si="102"/>
        <v>2.62</v>
      </c>
      <c r="P668" s="158" t="str">
        <f t="shared" si="103"/>
        <v/>
      </c>
      <c r="Q668" s="157" t="str">
        <f>IF(P668&lt;&gt;"",SUMIF(L668:L676,L668,N668:N676),"")</f>
        <v/>
      </c>
      <c r="R668" s="157" t="str">
        <f>IF(P668&lt;&gt;"",SUMIF(L668:L676,L668,O668:O676),"")</f>
        <v/>
      </c>
    </row>
    <row r="669" spans="1:18" ht="26.4" x14ac:dyDescent="0.25">
      <c r="A669" s="273" t="s">
        <v>31</v>
      </c>
      <c r="B669" s="265" t="s">
        <v>124</v>
      </c>
      <c r="C669" s="273" t="str">
        <f>VLOOKUP(B669,INSUMOS!$A:$I,2,FALSE)</f>
        <v>SINAPI</v>
      </c>
      <c r="D669" s="273" t="str">
        <f>VLOOKUP(B669,INSUMOS!$A:$I,3,FALSE)</f>
        <v>EPI - FAMILIA SERVENTE - HORISTA (ENCARGOS COMPLEMENTARES - COLETADO CAIXA)</v>
      </c>
      <c r="E669" s="361" t="str">
        <f>VLOOKUP(B669,INSUMOS!$A:$I,4,FALSE)</f>
        <v>Equipamento</v>
      </c>
      <c r="F669" s="361"/>
      <c r="G669" s="264" t="str">
        <f>VLOOKUP(B669,INSUMOS!$A:$I,5,FALSE)</f>
        <v>H</v>
      </c>
      <c r="H669" s="267">
        <v>1</v>
      </c>
      <c r="I669" s="266">
        <f>VLOOKUP(B669,INSUMOS!$A:$I,8,FALSE)</f>
        <v>1.01</v>
      </c>
      <c r="J669" s="266">
        <f t="shared" si="104"/>
        <v>1.01</v>
      </c>
      <c r="L669" s="145">
        <f t="shared" si="99"/>
        <v>75</v>
      </c>
      <c r="M669" s="156">
        <f t="shared" si="100"/>
        <v>1.01</v>
      </c>
      <c r="N669" s="157" t="str">
        <f t="shared" si="101"/>
        <v/>
      </c>
      <c r="O669" s="157">
        <f t="shared" si="102"/>
        <v>1.01</v>
      </c>
      <c r="P669" s="158" t="str">
        <f t="shared" si="103"/>
        <v/>
      </c>
      <c r="Q669" s="157" t="str">
        <f>IF(P669&lt;&gt;"",SUMIF(L669:L676,L669,N669:N676),"")</f>
        <v/>
      </c>
      <c r="R669" s="157" t="str">
        <f>IF(P669&lt;&gt;"",SUMIF(L669:L676,L669,O669:O676),"")</f>
        <v/>
      </c>
    </row>
    <row r="670" spans="1:18" x14ac:dyDescent="0.25">
      <c r="A670" s="273" t="s">
        <v>31</v>
      </c>
      <c r="B670" s="265" t="s">
        <v>92</v>
      </c>
      <c r="C670" s="273" t="str">
        <f>VLOOKUP(B670,INSUMOS!$A:$I,2,FALSE)</f>
        <v>SINAPI</v>
      </c>
      <c r="D670" s="273" t="str">
        <f>VLOOKUP(B670,INSUMOS!$A:$I,3,FALSE)</f>
        <v>EXAMES - HORISTA (COLETADO CAIXA)</v>
      </c>
      <c r="E670" s="361" t="str">
        <f>VLOOKUP(B670,INSUMOS!$A:$I,4,FALSE)</f>
        <v>Outros</v>
      </c>
      <c r="F670" s="361"/>
      <c r="G670" s="264" t="str">
        <f>VLOOKUP(B670,INSUMOS!$A:$I,5,FALSE)</f>
        <v>H</v>
      </c>
      <c r="H670" s="267">
        <v>1</v>
      </c>
      <c r="I670" s="266">
        <f>VLOOKUP(B670,INSUMOS!$A:$I,8,FALSE)</f>
        <v>0.55000000000000004</v>
      </c>
      <c r="J670" s="266">
        <f t="shared" si="104"/>
        <v>0.55000000000000004</v>
      </c>
      <c r="L670" s="145">
        <f t="shared" si="99"/>
        <v>75</v>
      </c>
      <c r="M670" s="156">
        <f t="shared" si="100"/>
        <v>0.55000000000000004</v>
      </c>
      <c r="N670" s="157" t="str">
        <f t="shared" si="101"/>
        <v/>
      </c>
      <c r="O670" s="157">
        <f t="shared" si="102"/>
        <v>0.55000000000000004</v>
      </c>
      <c r="P670" s="158" t="str">
        <f t="shared" si="103"/>
        <v/>
      </c>
      <c r="Q670" s="157" t="str">
        <f>IF(P670&lt;&gt;"",SUMIF(L670:L676,L670,N670:N676),"")</f>
        <v/>
      </c>
      <c r="R670" s="157" t="str">
        <f>IF(P670&lt;&gt;"",SUMIF(L670:L676,L670,O670:O676),"")</f>
        <v/>
      </c>
    </row>
    <row r="671" spans="1:18" ht="14.25" customHeight="1" x14ac:dyDescent="0.25">
      <c r="A671" s="273" t="s">
        <v>31</v>
      </c>
      <c r="B671" s="265" t="s">
        <v>125</v>
      </c>
      <c r="C671" s="273" t="str">
        <f>VLOOKUP(B671,INSUMOS!$A:$I,2,FALSE)</f>
        <v>SINAPI</v>
      </c>
      <c r="D671" s="273" t="str">
        <f>VLOOKUP(B671,INSUMOS!$A:$I,3,FALSE)</f>
        <v>FERRAMENTAS - FAMILIA SERVENTE - HORISTA (ENCARGOS COMPLEMENTARES - COLETADO CAIXA)</v>
      </c>
      <c r="E671" s="361" t="str">
        <f>VLOOKUP(B671,INSUMOS!$A:$I,4,FALSE)</f>
        <v>Equipamento</v>
      </c>
      <c r="F671" s="361"/>
      <c r="G671" s="264" t="str">
        <f>VLOOKUP(B671,INSUMOS!$A:$I,5,FALSE)</f>
        <v>H</v>
      </c>
      <c r="H671" s="267">
        <v>1</v>
      </c>
      <c r="I671" s="266">
        <f>VLOOKUP(B671,INSUMOS!$A:$I,8,FALSE)</f>
        <v>0.41</v>
      </c>
      <c r="J671" s="266">
        <f t="shared" si="104"/>
        <v>0.41</v>
      </c>
      <c r="L671" s="145">
        <f t="shared" si="99"/>
        <v>75</v>
      </c>
      <c r="M671" s="156">
        <f t="shared" si="100"/>
        <v>0.41</v>
      </c>
      <c r="N671" s="157" t="str">
        <f t="shared" si="101"/>
        <v/>
      </c>
      <c r="O671" s="157">
        <f t="shared" si="102"/>
        <v>0.41</v>
      </c>
      <c r="P671" s="158" t="str">
        <f t="shared" si="103"/>
        <v/>
      </c>
      <c r="Q671" s="157" t="str">
        <f>IF(P671&lt;&gt;"",SUMIF(L671:L676,L671,N671:N676),"")</f>
        <v/>
      </c>
      <c r="R671" s="157" t="str">
        <f>IF(P671&lt;&gt;"",SUMIF(L671:L676,L671,O671:O676),"")</f>
        <v/>
      </c>
    </row>
    <row r="672" spans="1:18" x14ac:dyDescent="0.25">
      <c r="A672" s="273" t="s">
        <v>31</v>
      </c>
      <c r="B672" s="265" t="s">
        <v>94</v>
      </c>
      <c r="C672" s="273" t="str">
        <f>VLOOKUP(B672,INSUMOS!$A:$I,2,FALSE)</f>
        <v>SINAPI</v>
      </c>
      <c r="D672" s="273" t="str">
        <f>VLOOKUP(B672,INSUMOS!$A:$I,3,FALSE)</f>
        <v>SEGURO - HORISTA (COLETADO CAIXA)</v>
      </c>
      <c r="E672" s="361" t="str">
        <f>VLOOKUP(B672,INSUMOS!$A:$I,4,FALSE)</f>
        <v>Taxas</v>
      </c>
      <c r="F672" s="361"/>
      <c r="G672" s="264" t="str">
        <f>VLOOKUP(B672,INSUMOS!$A:$I,5,FALSE)</f>
        <v>H</v>
      </c>
      <c r="H672" s="267">
        <v>1</v>
      </c>
      <c r="I672" s="266">
        <f>VLOOKUP(B672,INSUMOS!$A:$I,8,FALSE)</f>
        <v>0.06</v>
      </c>
      <c r="J672" s="266">
        <f t="shared" si="104"/>
        <v>0.06</v>
      </c>
      <c r="L672" s="145">
        <f t="shared" si="99"/>
        <v>75</v>
      </c>
      <c r="M672" s="156">
        <f t="shared" si="100"/>
        <v>0.06</v>
      </c>
      <c r="N672" s="157" t="str">
        <f t="shared" si="101"/>
        <v/>
      </c>
      <c r="O672" s="157">
        <f t="shared" si="102"/>
        <v>0.06</v>
      </c>
      <c r="P672" s="158" t="str">
        <f t="shared" si="103"/>
        <v/>
      </c>
      <c r="Q672" s="157" t="str">
        <f>IF(P672&lt;&gt;"",SUMIF(L672:L676,L672,N672:N676),"")</f>
        <v/>
      </c>
      <c r="R672" s="157" t="str">
        <f>IF(P672&lt;&gt;"",SUMIF(L672:L676,L672,O672:O676),"")</f>
        <v/>
      </c>
    </row>
    <row r="673" spans="1:18" ht="15" customHeight="1" x14ac:dyDescent="0.25">
      <c r="A673" s="273" t="s">
        <v>31</v>
      </c>
      <c r="B673" s="265" t="s">
        <v>119</v>
      </c>
      <c r="C673" s="273" t="str">
        <f>VLOOKUP(B673,INSUMOS!$A:$I,2,FALSE)</f>
        <v>SINAPI</v>
      </c>
      <c r="D673" s="273" t="str">
        <f>VLOOKUP(B673,INSUMOS!$A:$I,3,FALSE)</f>
        <v>SERVENTE DE OBRAS</v>
      </c>
      <c r="E673" s="361" t="str">
        <f>VLOOKUP(B673,INSUMOS!$A:$I,4,FALSE)</f>
        <v>Mão de Obra</v>
      </c>
      <c r="F673" s="361"/>
      <c r="G673" s="264" t="str">
        <f>VLOOKUP(B673,INSUMOS!$A:$I,5,FALSE)</f>
        <v>H</v>
      </c>
      <c r="H673" s="267">
        <v>1</v>
      </c>
      <c r="I673" s="266">
        <f>VLOOKUP(B673,INSUMOS!$A:$I,8,FALSE)</f>
        <v>11.43</v>
      </c>
      <c r="J673" s="266">
        <f t="shared" si="104"/>
        <v>11.43</v>
      </c>
      <c r="L673" s="145">
        <f t="shared" si="99"/>
        <v>75</v>
      </c>
      <c r="M673" s="156">
        <f t="shared" si="100"/>
        <v>11.43</v>
      </c>
      <c r="N673" s="157">
        <f t="shared" si="101"/>
        <v>11.43</v>
      </c>
      <c r="O673" s="157" t="str">
        <f t="shared" si="102"/>
        <v/>
      </c>
      <c r="P673" s="158" t="str">
        <f t="shared" si="103"/>
        <v/>
      </c>
      <c r="Q673" s="157" t="str">
        <f>IF(P673&lt;&gt;"",SUMIF(L673:L676,L673,N673:N676),"")</f>
        <v/>
      </c>
      <c r="R673" s="157" t="str">
        <f>IF(P673&lt;&gt;"",SUMIF(L673:L676,L673,O673:O676),"")</f>
        <v/>
      </c>
    </row>
    <row r="674" spans="1:18" x14ac:dyDescent="0.25">
      <c r="A674" s="273" t="s">
        <v>31</v>
      </c>
      <c r="B674" s="265" t="s">
        <v>95</v>
      </c>
      <c r="C674" s="273" t="str">
        <f>VLOOKUP(B674,INSUMOS!$A:$I,2,FALSE)</f>
        <v>SINAPI</v>
      </c>
      <c r="D674" s="273" t="str">
        <f>VLOOKUP(B674,INSUMOS!$A:$I,3,FALSE)</f>
        <v>TRANSPORTE - HORISTA (COLETADO CAIXA)</v>
      </c>
      <c r="E674" s="361" t="str">
        <f>VLOOKUP(B674,INSUMOS!$A:$I,4,FALSE)</f>
        <v>Serviços</v>
      </c>
      <c r="F674" s="361"/>
      <c r="G674" s="264" t="str">
        <f>VLOOKUP(B674,INSUMOS!$A:$I,5,FALSE)</f>
        <v>H</v>
      </c>
      <c r="H674" s="267">
        <v>1</v>
      </c>
      <c r="I674" s="266">
        <f>VLOOKUP(B674,INSUMOS!$A:$I,8,FALSE)</f>
        <v>1.36</v>
      </c>
      <c r="J674" s="266">
        <f t="shared" si="104"/>
        <v>1.36</v>
      </c>
      <c r="L674" s="145">
        <f t="shared" si="99"/>
        <v>75</v>
      </c>
      <c r="M674" s="156">
        <f t="shared" si="100"/>
        <v>1.36</v>
      </c>
      <c r="N674" s="157" t="str">
        <f t="shared" si="101"/>
        <v/>
      </c>
      <c r="O674" s="157">
        <f t="shared" si="102"/>
        <v>1.36</v>
      </c>
      <c r="P674" s="158" t="str">
        <f t="shared" si="103"/>
        <v/>
      </c>
      <c r="Q674" s="157" t="str">
        <f>IF(P674&lt;&gt;"",SUMIF(L674:L676,L674,N674:N676),"")</f>
        <v/>
      </c>
      <c r="R674" s="157" t="str">
        <f>IF(P674&lt;&gt;"",SUMIF(L674:L676,L674,O674:O676),"")</f>
        <v/>
      </c>
    </row>
    <row r="675" spans="1:18" x14ac:dyDescent="0.25">
      <c r="A675" s="274"/>
      <c r="B675" s="274"/>
      <c r="C675" s="274"/>
      <c r="D675" s="274"/>
      <c r="E675" s="274"/>
      <c r="F675" s="268"/>
      <c r="G675" s="274"/>
      <c r="H675" s="268"/>
      <c r="I675" s="274"/>
      <c r="J675" s="268"/>
      <c r="L675" s="145">
        <f t="shared" si="99"/>
        <v>75</v>
      </c>
      <c r="M675" s="156" t="str">
        <f t="shared" si="100"/>
        <v/>
      </c>
      <c r="N675" s="157" t="str">
        <f t="shared" si="101"/>
        <v/>
      </c>
      <c r="O675" s="157" t="str">
        <f t="shared" si="102"/>
        <v/>
      </c>
      <c r="P675" s="158" t="str">
        <f t="shared" si="103"/>
        <v/>
      </c>
      <c r="Q675" s="157" t="str">
        <f>IF(P675&lt;&gt;"",SUMIF(L675:L676,L675,N675:N676),"")</f>
        <v/>
      </c>
      <c r="R675" s="157" t="str">
        <f>IF(P675&lt;&gt;"",SUMIF(L675:L676,L675,O675:O676),"")</f>
        <v/>
      </c>
    </row>
    <row r="676" spans="1:18" x14ac:dyDescent="0.25">
      <c r="A676" s="274"/>
      <c r="B676" s="274"/>
      <c r="C676" s="274"/>
      <c r="D676" s="274"/>
      <c r="E676" s="274"/>
      <c r="F676" s="268"/>
      <c r="G676" s="274"/>
      <c r="H676" s="350"/>
      <c r="I676" s="350"/>
      <c r="J676" s="268"/>
      <c r="L676" s="145" t="e">
        <f>IF(AND(#REF!&lt;&gt;"",A676=""),L675+1,L675)</f>
        <v>#REF!</v>
      </c>
      <c r="M676" s="156" t="str">
        <f t="shared" si="100"/>
        <v/>
      </c>
      <c r="N676" s="157" t="str">
        <f t="shared" si="101"/>
        <v/>
      </c>
      <c r="O676" s="157" t="str">
        <f t="shared" si="102"/>
        <v/>
      </c>
      <c r="P676" s="158" t="str">
        <f t="shared" si="103"/>
        <v/>
      </c>
      <c r="Q676" s="157" t="str">
        <f>IF(P676&lt;&gt;"",SUMIF(L676:L676,L676,N676:N676),"")</f>
        <v/>
      </c>
      <c r="R676" s="157" t="str">
        <f>IF(P676&lt;&gt;"",SUMIF(L676:L676,L676,O676:O676),"")</f>
        <v/>
      </c>
    </row>
  </sheetData>
  <sheetProtection algorithmName="SHA-512" hashValue="+0Dc4UWecwMUMCrnPq8TXo+sfCXDRwLTFqjeFJ7sYKXgIcfZYe4dp4b/gIbHmMMfJu3bYWzSWrbngdh+x7UDXQ==" saltValue="BW9TWpxMSUVpLwb/hWn0xg==" spinCount="100000" sheet="1" objects="1" scenarios="1"/>
  <protectedRanges>
    <protectedRange sqref="H677:H1048576 H1:H676" name="Intervalo1"/>
  </protectedRanges>
  <mergeCells count="535">
    <mergeCell ref="H567:I567"/>
    <mergeCell ref="H573:I573"/>
    <mergeCell ref="E575:F575"/>
    <mergeCell ref="E576:F576"/>
    <mergeCell ref="H579:I579"/>
    <mergeCell ref="H585:I585"/>
    <mergeCell ref="E587:F587"/>
    <mergeCell ref="E595:F595"/>
    <mergeCell ref="E596:F596"/>
    <mergeCell ref="E570:F570"/>
    <mergeCell ref="E591:F591"/>
    <mergeCell ref="H598:I598"/>
    <mergeCell ref="E603:F603"/>
    <mergeCell ref="E604:F604"/>
    <mergeCell ref="E605:F605"/>
    <mergeCell ref="H611:I611"/>
    <mergeCell ref="E613:F613"/>
    <mergeCell ref="E614:F614"/>
    <mergeCell ref="E615:F615"/>
    <mergeCell ref="H457:I457"/>
    <mergeCell ref="E463:F463"/>
    <mergeCell ref="E464:F464"/>
    <mergeCell ref="E465:F465"/>
    <mergeCell ref="H470:I470"/>
    <mergeCell ref="E472:F472"/>
    <mergeCell ref="E473:F473"/>
    <mergeCell ref="E480:F480"/>
    <mergeCell ref="E481:F481"/>
    <mergeCell ref="H483:I483"/>
    <mergeCell ref="E488:F488"/>
    <mergeCell ref="E489:F489"/>
    <mergeCell ref="E490:F490"/>
    <mergeCell ref="H496:I496"/>
    <mergeCell ref="E498:F498"/>
    <mergeCell ref="E503:F503"/>
    <mergeCell ref="H416:I416"/>
    <mergeCell ref="H428:I428"/>
    <mergeCell ref="H434:I434"/>
    <mergeCell ref="E437:F437"/>
    <mergeCell ref="E438:F438"/>
    <mergeCell ref="H440:I440"/>
    <mergeCell ref="E454:F454"/>
    <mergeCell ref="E455:F455"/>
    <mergeCell ref="E477:F477"/>
    <mergeCell ref="H392:I392"/>
    <mergeCell ref="E394:F394"/>
    <mergeCell ref="E395:F395"/>
    <mergeCell ref="H398:I398"/>
    <mergeCell ref="H404:I404"/>
    <mergeCell ref="E406:F406"/>
    <mergeCell ref="H410:I410"/>
    <mergeCell ref="E413:F413"/>
    <mergeCell ref="E414:F414"/>
    <mergeCell ref="E376:F376"/>
    <mergeCell ref="H380:I380"/>
    <mergeCell ref="E114:F114"/>
    <mergeCell ref="H117:I117"/>
    <mergeCell ref="E120:F120"/>
    <mergeCell ref="E121:F121"/>
    <mergeCell ref="E122:F122"/>
    <mergeCell ref="H128:I128"/>
    <mergeCell ref="E132:F132"/>
    <mergeCell ref="E133:F133"/>
    <mergeCell ref="E134:F134"/>
    <mergeCell ref="H141:I141"/>
    <mergeCell ref="E143:F143"/>
    <mergeCell ref="E144:F144"/>
    <mergeCell ref="H149:I149"/>
    <mergeCell ref="E152:F152"/>
    <mergeCell ref="E153:F153"/>
    <mergeCell ref="E154:F154"/>
    <mergeCell ref="H313:I313"/>
    <mergeCell ref="E315:F315"/>
    <mergeCell ref="H322:I322"/>
    <mergeCell ref="E324:F324"/>
    <mergeCell ref="E325:F325"/>
    <mergeCell ref="H331:I331"/>
    <mergeCell ref="E673:F673"/>
    <mergeCell ref="E674:F674"/>
    <mergeCell ref="H676:I676"/>
    <mergeCell ref="E609:F609"/>
    <mergeCell ref="E620:F620"/>
    <mergeCell ref="E621:F621"/>
    <mergeCell ref="E622:F622"/>
    <mergeCell ref="H624:I624"/>
    <mergeCell ref="E628:F628"/>
    <mergeCell ref="E629:F629"/>
    <mergeCell ref="E630:F630"/>
    <mergeCell ref="H637:I637"/>
    <mergeCell ref="E639:F639"/>
    <mergeCell ref="E640:F640"/>
    <mergeCell ref="E644:F644"/>
    <mergeCell ref="E645:F645"/>
    <mergeCell ref="E646:F646"/>
    <mergeCell ref="H650:I650"/>
    <mergeCell ref="E652:F652"/>
    <mergeCell ref="E656:F656"/>
    <mergeCell ref="H446:I446"/>
    <mergeCell ref="E426:F426"/>
    <mergeCell ref="E442:F442"/>
    <mergeCell ref="E448:F448"/>
    <mergeCell ref="E553:F553"/>
    <mergeCell ref="E554:F554"/>
    <mergeCell ref="E555:F555"/>
    <mergeCell ref="E560:F560"/>
    <mergeCell ref="E565:F565"/>
    <mergeCell ref="E541:F541"/>
    <mergeCell ref="E547:F547"/>
    <mergeCell ref="E509:F509"/>
    <mergeCell ref="E510:F510"/>
    <mergeCell ref="E511:F511"/>
    <mergeCell ref="E528:F528"/>
    <mergeCell ref="E552:F552"/>
    <mergeCell ref="E548:F548"/>
    <mergeCell ref="E459:F459"/>
    <mergeCell ref="E475:F475"/>
    <mergeCell ref="E476:F476"/>
    <mergeCell ref="H505:I505"/>
    <mergeCell ref="E412:F412"/>
    <mergeCell ref="E419:F419"/>
    <mergeCell ref="E420:F420"/>
    <mergeCell ref="H422:I422"/>
    <mergeCell ref="E326:F326"/>
    <mergeCell ref="E338:F338"/>
    <mergeCell ref="E339:F339"/>
    <mergeCell ref="E340:F340"/>
    <mergeCell ref="H356:I356"/>
    <mergeCell ref="E358:F358"/>
    <mergeCell ref="E359:F359"/>
    <mergeCell ref="E365:F365"/>
    <mergeCell ref="E366:F366"/>
    <mergeCell ref="E377:F377"/>
    <mergeCell ref="E382:F382"/>
    <mergeCell ref="E383:F383"/>
    <mergeCell ref="E384:F384"/>
    <mergeCell ref="H386:I386"/>
    <mergeCell ref="H344:I344"/>
    <mergeCell ref="E346:F346"/>
    <mergeCell ref="E347:F347"/>
    <mergeCell ref="H362:I362"/>
    <mergeCell ref="H368:I368"/>
    <mergeCell ref="H374:I374"/>
    <mergeCell ref="H264:I264"/>
    <mergeCell ref="E266:F266"/>
    <mergeCell ref="E241:F241"/>
    <mergeCell ref="E245:F245"/>
    <mergeCell ref="E310:F310"/>
    <mergeCell ref="E311:F311"/>
    <mergeCell ref="E317:F317"/>
    <mergeCell ref="E267:F267"/>
    <mergeCell ref="E288:F288"/>
    <mergeCell ref="H271:I271"/>
    <mergeCell ref="E273:F273"/>
    <mergeCell ref="E274:F274"/>
    <mergeCell ref="H280:I280"/>
    <mergeCell ref="E282:F282"/>
    <mergeCell ref="E283:F283"/>
    <mergeCell ref="H286:I286"/>
    <mergeCell ref="E290:F290"/>
    <mergeCell ref="H292:I292"/>
    <mergeCell ref="H298:I298"/>
    <mergeCell ref="E301:F301"/>
    <mergeCell ref="E302:F302"/>
    <mergeCell ref="H304:I304"/>
    <mergeCell ref="E307:F307"/>
    <mergeCell ref="E308:F308"/>
    <mergeCell ref="H219:I219"/>
    <mergeCell ref="H226:I226"/>
    <mergeCell ref="E228:F228"/>
    <mergeCell ref="E229:F229"/>
    <mergeCell ref="H237:I237"/>
    <mergeCell ref="A239:J239"/>
    <mergeCell ref="E248:F248"/>
    <mergeCell ref="E249:F249"/>
    <mergeCell ref="H251:I251"/>
    <mergeCell ref="E138:F138"/>
    <mergeCell ref="E139:F139"/>
    <mergeCell ref="E151:F151"/>
    <mergeCell ref="E158:F158"/>
    <mergeCell ref="E159:F159"/>
    <mergeCell ref="E165:F165"/>
    <mergeCell ref="E163:F163"/>
    <mergeCell ref="E164:F164"/>
    <mergeCell ref="E254:F254"/>
    <mergeCell ref="E232:F232"/>
    <mergeCell ref="E233:F233"/>
    <mergeCell ref="E234:F234"/>
    <mergeCell ref="E162:F162"/>
    <mergeCell ref="H167:I167"/>
    <mergeCell ref="E172:F172"/>
    <mergeCell ref="H174:I174"/>
    <mergeCell ref="E191:F191"/>
    <mergeCell ref="E192:F192"/>
    <mergeCell ref="H194:I194"/>
    <mergeCell ref="E200:F200"/>
    <mergeCell ref="E201:F201"/>
    <mergeCell ref="E202:F202"/>
    <mergeCell ref="H183:I183"/>
    <mergeCell ref="E179:F179"/>
    <mergeCell ref="E180:F180"/>
    <mergeCell ref="E181:F181"/>
    <mergeCell ref="E208:F208"/>
    <mergeCell ref="E209:F209"/>
    <mergeCell ref="E210:F210"/>
    <mergeCell ref="H212:I212"/>
    <mergeCell ref="H24:I24"/>
    <mergeCell ref="E26:F26"/>
    <mergeCell ref="H30:I30"/>
    <mergeCell ref="H36:I36"/>
    <mergeCell ref="E38:F38"/>
    <mergeCell ref="E39:F39"/>
    <mergeCell ref="E50:F50"/>
    <mergeCell ref="E51:F51"/>
    <mergeCell ref="E73:F73"/>
    <mergeCell ref="E81:F81"/>
    <mergeCell ref="E89:F89"/>
    <mergeCell ref="E60:F60"/>
    <mergeCell ref="E169:F169"/>
    <mergeCell ref="E204:F204"/>
    <mergeCell ref="E205:F205"/>
    <mergeCell ref="E206:F206"/>
    <mergeCell ref="E99:F99"/>
    <mergeCell ref="E100:F100"/>
    <mergeCell ref="E101:F101"/>
    <mergeCell ref="E125:F125"/>
    <mergeCell ref="H663:I663"/>
    <mergeCell ref="E672:F672"/>
    <mergeCell ref="E666:F666"/>
    <mergeCell ref="E659:F659"/>
    <mergeCell ref="E668:F668"/>
    <mergeCell ref="E669:F669"/>
    <mergeCell ref="E658:F658"/>
    <mergeCell ref="E556:F556"/>
    <mergeCell ref="E564:F564"/>
    <mergeCell ref="E588:F588"/>
    <mergeCell ref="E589:F589"/>
    <mergeCell ref="E590:F590"/>
    <mergeCell ref="E601:F601"/>
    <mergeCell ref="E581:F581"/>
    <mergeCell ref="E582:F582"/>
    <mergeCell ref="E593:F593"/>
    <mergeCell ref="E594:F594"/>
    <mergeCell ref="E600:F600"/>
    <mergeCell ref="E667:F667"/>
    <mergeCell ref="E647:F647"/>
    <mergeCell ref="E648:F648"/>
    <mergeCell ref="E665:F665"/>
    <mergeCell ref="E633:F633"/>
    <mergeCell ref="E657:F657"/>
    <mergeCell ref="H550:I550"/>
    <mergeCell ref="H558:I558"/>
    <mergeCell ref="E501:F501"/>
    <mergeCell ref="E507:F507"/>
    <mergeCell ref="E462:F462"/>
    <mergeCell ref="E485:F485"/>
    <mergeCell ref="E478:F478"/>
    <mergeCell ref="E479:F479"/>
    <mergeCell ref="E486:F486"/>
    <mergeCell ref="E491:F491"/>
    <mergeCell ref="H537:I537"/>
    <mergeCell ref="H543:I543"/>
    <mergeCell ref="E474:F474"/>
    <mergeCell ref="H516:I516"/>
    <mergeCell ref="H523:I523"/>
    <mergeCell ref="E508:F508"/>
    <mergeCell ref="H530:I530"/>
    <mergeCell ref="E534:F534"/>
    <mergeCell ref="E653:F653"/>
    <mergeCell ref="E660:F660"/>
    <mergeCell ref="E661:F661"/>
    <mergeCell ref="E487:F487"/>
    <mergeCell ref="E493:F493"/>
    <mergeCell ref="E494:F494"/>
    <mergeCell ref="E499:F499"/>
    <mergeCell ref="E500:F500"/>
    <mergeCell ref="E535:F535"/>
    <mergeCell ref="E561:F561"/>
    <mergeCell ref="E562:F562"/>
    <mergeCell ref="E563:F563"/>
    <mergeCell ref="E654:F654"/>
    <mergeCell ref="E641:F641"/>
    <mergeCell ref="E642:F642"/>
    <mergeCell ref="E655:F655"/>
    <mergeCell ref="E533:F533"/>
    <mergeCell ref="E512:F512"/>
    <mergeCell ref="E513:F513"/>
    <mergeCell ref="E518:F518"/>
    <mergeCell ref="E519:F519"/>
    <mergeCell ref="E525:F525"/>
    <mergeCell ref="E492:F492"/>
    <mergeCell ref="E502:F502"/>
    <mergeCell ref="E371:F371"/>
    <mergeCell ref="E360:F360"/>
    <mergeCell ref="E348:F348"/>
    <mergeCell ref="E349:F349"/>
    <mergeCell ref="E341:F341"/>
    <mergeCell ref="E342:F342"/>
    <mergeCell ref="E246:F246"/>
    <mergeCell ref="E247:F247"/>
    <mergeCell ref="E217:F217"/>
    <mergeCell ref="E309:F309"/>
    <mergeCell ref="E255:F255"/>
    <mergeCell ref="E300:F300"/>
    <mergeCell ref="E256:F256"/>
    <mergeCell ref="E257:F257"/>
    <mergeCell ref="E258:F258"/>
    <mergeCell ref="E333:F333"/>
    <mergeCell ref="E334:F334"/>
    <mergeCell ref="E335:F335"/>
    <mergeCell ref="E76:F76"/>
    <mergeCell ref="E57:F57"/>
    <mergeCell ref="E56:F56"/>
    <mergeCell ref="E32:F32"/>
    <mergeCell ref="E33:F33"/>
    <mergeCell ref="E34:F34"/>
    <mergeCell ref="E47:F47"/>
    <mergeCell ref="E58:F58"/>
    <mergeCell ref="E59:F59"/>
    <mergeCell ref="E43:F43"/>
    <mergeCell ref="E52:F52"/>
    <mergeCell ref="E72:F72"/>
    <mergeCell ref="E112:F112"/>
    <mergeCell ref="E113:F113"/>
    <mergeCell ref="E408:F408"/>
    <mergeCell ref="E242:F242"/>
    <mergeCell ref="E243:F243"/>
    <mergeCell ref="E223:F223"/>
    <mergeCell ref="E224:F224"/>
    <mergeCell ref="E216:F216"/>
    <mergeCell ref="E188:F188"/>
    <mergeCell ref="E189:F189"/>
    <mergeCell ref="E185:F185"/>
    <mergeCell ref="E186:F186"/>
    <mergeCell ref="E187:F187"/>
    <mergeCell ref="E388:F388"/>
    <mergeCell ref="E289:F289"/>
    <mergeCell ref="E296:F296"/>
    <mergeCell ref="E284:F284"/>
    <mergeCell ref="E294:F294"/>
    <mergeCell ref="E295:F295"/>
    <mergeCell ref="E124:F124"/>
    <mergeCell ref="E215:F215"/>
    <mergeCell ref="E262:F262"/>
    <mergeCell ref="E268:F268"/>
    <mergeCell ref="E328:F328"/>
    <mergeCell ref="E156:F156"/>
    <mergeCell ref="E161:F161"/>
    <mergeCell ref="E170:F170"/>
    <mergeCell ref="E418:F418"/>
    <mergeCell ref="E632:F632"/>
    <mergeCell ref="E540:F540"/>
    <mergeCell ref="E432:F432"/>
    <mergeCell ref="E430:F430"/>
    <mergeCell ref="E431:F431"/>
    <mergeCell ref="E467:F467"/>
    <mergeCell ref="E468:F468"/>
    <mergeCell ref="E450:F450"/>
    <mergeCell ref="E449:F449"/>
    <mergeCell ref="E424:F424"/>
    <mergeCell ref="E425:F425"/>
    <mergeCell ref="E461:F461"/>
    <mergeCell ref="E196:F196"/>
    <mergeCell ref="E253:F253"/>
    <mergeCell ref="E275:F275"/>
    <mergeCell ref="E539:F539"/>
    <mergeCell ref="E569:F569"/>
    <mergeCell ref="E353:F353"/>
    <mergeCell ref="E372:F372"/>
    <mergeCell ref="E370:F370"/>
    <mergeCell ref="E546:F546"/>
    <mergeCell ref="E230:F230"/>
    <mergeCell ref="E231:F231"/>
    <mergeCell ref="E235:F235"/>
    <mergeCell ref="E222:F222"/>
    <mergeCell ref="E115:F115"/>
    <mergeCell ref="E119:F119"/>
    <mergeCell ref="E157:F157"/>
    <mergeCell ref="E105:F105"/>
    <mergeCell ref="E106:F106"/>
    <mergeCell ref="E130:F130"/>
    <mergeCell ref="E171:F171"/>
    <mergeCell ref="E259:F259"/>
    <mergeCell ref="E260:F260"/>
    <mergeCell ref="E261:F261"/>
    <mergeCell ref="E126:F126"/>
    <mergeCell ref="E160:F160"/>
    <mergeCell ref="E240:F240"/>
    <mergeCell ref="E190:F190"/>
    <mergeCell ref="E460:F460"/>
    <mergeCell ref="E466:F466"/>
    <mergeCell ref="E136:F136"/>
    <mergeCell ref="E137:F137"/>
    <mergeCell ref="E155:F155"/>
    <mergeCell ref="E9:I9"/>
    <mergeCell ref="E10:I10"/>
    <mergeCell ref="E12:F12"/>
    <mergeCell ref="A13:J13"/>
    <mergeCell ref="A11:J11"/>
    <mergeCell ref="E145:F145"/>
    <mergeCell ref="E135:F135"/>
    <mergeCell ref="E176:F176"/>
    <mergeCell ref="E177:F177"/>
    <mergeCell ref="E84:F84"/>
    <mergeCell ref="E14:F14"/>
    <mergeCell ref="E22:F22"/>
    <mergeCell ref="E18:F18"/>
    <mergeCell ref="E17:F17"/>
    <mergeCell ref="E48:F48"/>
    <mergeCell ref="E27:F27"/>
    <mergeCell ref="E68:F68"/>
    <mergeCell ref="E67:F67"/>
    <mergeCell ref="E66:F66"/>
    <mergeCell ref="E93:F93"/>
    <mergeCell ref="E98:F98"/>
    <mergeCell ref="E110:F110"/>
    <mergeCell ref="E111:F111"/>
    <mergeCell ref="E123:F123"/>
    <mergeCell ref="P1:Q1"/>
    <mergeCell ref="W1:X1"/>
    <mergeCell ref="A1:J1"/>
    <mergeCell ref="A2:J2"/>
    <mergeCell ref="A3:J3"/>
    <mergeCell ref="A4:J4"/>
    <mergeCell ref="A5:J5"/>
    <mergeCell ref="A6:J6"/>
    <mergeCell ref="E8:I8"/>
    <mergeCell ref="P3:Q3"/>
    <mergeCell ref="P5:Q5"/>
    <mergeCell ref="E16:F16"/>
    <mergeCell ref="E15:F15"/>
    <mergeCell ref="E49:F49"/>
    <mergeCell ref="H103:I103"/>
    <mergeCell ref="H45:I45"/>
    <mergeCell ref="H54:I54"/>
    <mergeCell ref="H70:I70"/>
    <mergeCell ref="H79:I79"/>
    <mergeCell ref="H87:I87"/>
    <mergeCell ref="H95:I95"/>
    <mergeCell ref="E85:F85"/>
    <mergeCell ref="E97:F97"/>
    <mergeCell ref="E77:F77"/>
    <mergeCell ref="E90:F90"/>
    <mergeCell ref="E91:F91"/>
    <mergeCell ref="E92:F92"/>
    <mergeCell ref="E19:F19"/>
    <mergeCell ref="E20:F20"/>
    <mergeCell ref="E21:F21"/>
    <mergeCell ref="E28:F28"/>
    <mergeCell ref="E64:F64"/>
    <mergeCell ref="E65:F65"/>
    <mergeCell ref="E74:F74"/>
    <mergeCell ref="E75:F75"/>
    <mergeCell ref="X15:Y15"/>
    <mergeCell ref="E320:F320"/>
    <mergeCell ref="E378:F378"/>
    <mergeCell ref="X16:Y16"/>
    <mergeCell ref="X17:Y17"/>
    <mergeCell ref="E83:F83"/>
    <mergeCell ref="E146:F146"/>
    <mergeCell ref="E147:F147"/>
    <mergeCell ref="E352:F352"/>
    <mergeCell ref="E197:F197"/>
    <mergeCell ref="E198:F198"/>
    <mergeCell ref="E203:F203"/>
    <mergeCell ref="E244:F244"/>
    <mergeCell ref="E221:F221"/>
    <mergeCell ref="E178:F178"/>
    <mergeCell ref="E107:F107"/>
    <mergeCell ref="E108:F108"/>
    <mergeCell ref="E131:F131"/>
    <mergeCell ref="E214:F214"/>
    <mergeCell ref="E269:F269"/>
    <mergeCell ref="E277:F277"/>
    <mergeCell ref="E278:F278"/>
    <mergeCell ref="E199:F199"/>
    <mergeCell ref="E207:F207"/>
    <mergeCell ref="E670:F670"/>
    <mergeCell ref="E671:F671"/>
    <mergeCell ref="E306:F306"/>
    <mergeCell ref="E350:F350"/>
    <mergeCell ref="E351:F351"/>
    <mergeCell ref="E407:F407"/>
    <mergeCell ref="E390:F390"/>
    <mergeCell ref="E396:F396"/>
    <mergeCell ref="E402:F402"/>
    <mergeCell ref="E364:F364"/>
    <mergeCell ref="E316:F316"/>
    <mergeCell ref="E327:F327"/>
    <mergeCell ref="E336:F336"/>
    <mergeCell ref="E354:F354"/>
    <mergeCell ref="E318:F318"/>
    <mergeCell ref="E319:F319"/>
    <mergeCell ref="E389:F389"/>
    <mergeCell ref="E436:F436"/>
    <mergeCell ref="E443:F443"/>
    <mergeCell ref="E444:F444"/>
    <mergeCell ref="E451:F451"/>
    <mergeCell ref="E452:F452"/>
    <mergeCell ref="E453:F453"/>
    <mergeCell ref="E532:F532"/>
    <mergeCell ref="E634:F634"/>
    <mergeCell ref="E635:F635"/>
    <mergeCell ref="E643:F643"/>
    <mergeCell ref="E608:F608"/>
    <mergeCell ref="E617:F617"/>
    <mergeCell ref="E618:F618"/>
    <mergeCell ref="E619:F619"/>
    <mergeCell ref="E606:F606"/>
    <mergeCell ref="E607:F607"/>
    <mergeCell ref="E626:F626"/>
    <mergeCell ref="E631:F631"/>
    <mergeCell ref="E602:F602"/>
    <mergeCell ref="E616:F616"/>
    <mergeCell ref="E627:F627"/>
    <mergeCell ref="E571:F571"/>
    <mergeCell ref="E577:F577"/>
    <mergeCell ref="E583:F583"/>
    <mergeCell ref="H62:I62"/>
    <mergeCell ref="E40:F40"/>
    <mergeCell ref="E42:F42"/>
    <mergeCell ref="E276:F276"/>
    <mergeCell ref="E329:F329"/>
    <mergeCell ref="E337:F337"/>
    <mergeCell ref="E400:F400"/>
    <mergeCell ref="E401:F401"/>
    <mergeCell ref="E526:F526"/>
    <mergeCell ref="E527:F527"/>
    <mergeCell ref="E520:F520"/>
    <mergeCell ref="E521:F521"/>
    <mergeCell ref="E514:F514"/>
    <mergeCell ref="E592:F592"/>
    <mergeCell ref="E82:F82"/>
    <mergeCell ref="E41:F41"/>
    <mergeCell ref="E109:F109"/>
    <mergeCell ref="E545:F545"/>
  </mergeCells>
  <conditionalFormatting sqref="P1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{2BA0BF01-11BD-45CB-95F0-4523757D78E1}</x14:id>
        </ext>
      </extLst>
    </cfRule>
  </conditionalFormatting>
  <conditionalFormatting sqref="P3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{EB8C104E-D622-4498-A449-13F33E3F8106}</x14:id>
        </ext>
      </extLst>
    </cfRule>
  </conditionalFormatting>
  <conditionalFormatting sqref="P5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{ABB8B5AD-21CA-42DE-8A37-AAC8B7DB62D9}</x14:id>
        </ext>
      </extLst>
    </cfRule>
  </conditionalFormatting>
  <conditionalFormatting sqref="W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{D1241D16-220B-41AA-843B-B52DFBF5B094}</x14:id>
        </ext>
      </extLst>
    </cfRule>
  </conditionalFormatting>
  <pageMargins left="0.78740157480314965" right="0.78740157480314965" top="0.78740157480314965" bottom="0.78740157480314965" header="0.31496062992125984" footer="0.51181102362204722"/>
  <pageSetup paperSize="9" scale="46" orientation="portrait" r:id="rId1"/>
  <headerFooter>
    <oddFooter>&amp;R&amp;P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A0BF01-11BD-45CB-95F0-4523757D78E1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P1</xm:sqref>
        </x14:conditionalFormatting>
        <x14:conditionalFormatting xmlns:xm="http://schemas.microsoft.com/office/excel/2006/main">
          <x14:cfRule type="dataBar" id="{EB8C104E-D622-4498-A449-13F33E3F810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P3</xm:sqref>
        </x14:conditionalFormatting>
        <x14:conditionalFormatting xmlns:xm="http://schemas.microsoft.com/office/excel/2006/main">
          <x14:cfRule type="dataBar" id="{ABB8B5AD-21CA-42DE-8A37-AAC8B7DB62D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P5</xm:sqref>
        </x14:conditionalFormatting>
        <x14:conditionalFormatting xmlns:xm="http://schemas.microsoft.com/office/excel/2006/main">
          <x14:cfRule type="dataBar" id="{D1241D16-220B-41AA-843B-B52DFBF5B09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W1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M114"/>
  <sheetViews>
    <sheetView showGridLines="0" showOutlineSymbols="0" showWhiteSpace="0" view="pageBreakPreview" zoomScaleNormal="100" zoomScaleSheetLayoutView="100" workbookViewId="0">
      <selection activeCell="C24" sqref="C24"/>
    </sheetView>
  </sheetViews>
  <sheetFormatPr defaultColWidth="9" defaultRowHeight="13.8" x14ac:dyDescent="0.25"/>
  <cols>
    <col min="1" max="1" width="18.59765625" style="188" customWidth="1"/>
    <col min="2" max="2" width="10.59765625" style="188" customWidth="1"/>
    <col min="3" max="3" width="60.59765625" style="188" customWidth="1"/>
    <col min="4" max="4" width="16.59765625" style="177" customWidth="1"/>
    <col min="5" max="5" width="10.59765625" style="177" customWidth="1"/>
    <col min="6" max="6" width="12.59765625" style="230" customWidth="1"/>
    <col min="7" max="7" width="15.59765625" style="177" customWidth="1"/>
    <col min="8" max="8" width="15.59765625" style="188" customWidth="1"/>
    <col min="9" max="9" width="13" style="188" bestFit="1" customWidth="1"/>
    <col min="10" max="10" width="9" style="188"/>
    <col min="11" max="11" width="11.09765625" style="235" hidden="1" customWidth="1"/>
    <col min="12" max="16384" width="9" style="188"/>
  </cols>
  <sheetData>
    <row r="1" spans="1:13" x14ac:dyDescent="0.25">
      <c r="A1" s="377"/>
      <c r="B1" s="377"/>
      <c r="C1" s="377"/>
      <c r="D1" s="377"/>
      <c r="E1" s="377"/>
      <c r="F1" s="377"/>
      <c r="G1" s="377"/>
      <c r="H1" s="377"/>
      <c r="I1" s="377"/>
    </row>
    <row r="2" spans="1:13" x14ac:dyDescent="0.25">
      <c r="A2" s="378" t="str">
        <f>'ANALÍTICA AUXILIARES'!A2:J2</f>
        <v>PROCURADORIA GERAL DA REPÚBLICA</v>
      </c>
      <c r="B2" s="378"/>
      <c r="C2" s="378"/>
      <c r="D2" s="378"/>
      <c r="E2" s="378"/>
      <c r="F2" s="378"/>
      <c r="G2" s="378"/>
      <c r="H2" s="378"/>
      <c r="I2" s="378"/>
    </row>
    <row r="3" spans="1:13" x14ac:dyDescent="0.25">
      <c r="A3" s="378" t="str">
        <f>'ANALÍTICA AUXILIARES'!A3:J3</f>
        <v>SECRETARIA DE ENGENHARIA E ARQUITETURA</v>
      </c>
      <c r="B3" s="378"/>
      <c r="C3" s="378"/>
      <c r="D3" s="378"/>
      <c r="E3" s="378"/>
      <c r="F3" s="378"/>
      <c r="G3" s="378"/>
      <c r="H3" s="378"/>
      <c r="I3" s="378"/>
    </row>
    <row r="4" spans="1:13" x14ac:dyDescent="0.25">
      <c r="A4" s="377"/>
      <c r="B4" s="377"/>
      <c r="C4" s="377"/>
      <c r="D4" s="377"/>
      <c r="E4" s="377"/>
      <c r="F4" s="377"/>
      <c r="G4" s="377"/>
      <c r="H4" s="377"/>
      <c r="I4" s="377"/>
    </row>
    <row r="5" spans="1:13" x14ac:dyDescent="0.25">
      <c r="A5" s="379" t="str">
        <f>'ANALÍTICA AUXILIARES'!A5:J5</f>
        <v>OBRA: SFCR DA ESMPU - 2021</v>
      </c>
      <c r="B5" s="379"/>
      <c r="C5" s="379"/>
      <c r="D5" s="379"/>
      <c r="E5" s="379"/>
      <c r="F5" s="379"/>
      <c r="G5" s="379"/>
      <c r="H5" s="379"/>
      <c r="I5" s="379"/>
    </row>
    <row r="6" spans="1:13" s="55" customFormat="1" ht="17.399999999999999" x14ac:dyDescent="0.25">
      <c r="A6" s="358" t="s">
        <v>186</v>
      </c>
      <c r="B6" s="358"/>
      <c r="C6" s="358"/>
      <c r="D6" s="358"/>
      <c r="E6" s="358"/>
      <c r="F6" s="358"/>
      <c r="G6" s="358"/>
      <c r="H6" s="358"/>
      <c r="I6" s="358"/>
      <c r="K6" s="235"/>
    </row>
    <row r="7" spans="1:13" x14ac:dyDescent="0.25">
      <c r="A7" s="376" t="str">
        <f>SINTÉTICA!E10</f>
        <v>REFERÊNCIA: SINAPI - DF - 06/21 (NÃO DESONERADA)</v>
      </c>
      <c r="B7" s="376"/>
      <c r="C7" s="376"/>
      <c r="D7" s="376"/>
      <c r="E7" s="376"/>
      <c r="F7" s="376"/>
      <c r="G7" s="376"/>
      <c r="H7" s="376"/>
      <c r="I7" s="376"/>
    </row>
    <row r="8" spans="1:13" x14ac:dyDescent="0.25">
      <c r="A8" s="354"/>
      <c r="B8" s="354"/>
      <c r="C8" s="354"/>
      <c r="D8" s="354"/>
      <c r="E8" s="354"/>
      <c r="F8" s="354"/>
      <c r="G8" s="354"/>
      <c r="H8" s="354"/>
      <c r="I8" s="354"/>
      <c r="M8" s="237"/>
    </row>
    <row r="9" spans="1:13" ht="39.6" x14ac:dyDescent="0.25">
      <c r="A9" s="61" t="s">
        <v>166</v>
      </c>
      <c r="B9" s="61" t="s">
        <v>167</v>
      </c>
      <c r="C9" s="61" t="s">
        <v>154</v>
      </c>
      <c r="D9" s="61" t="s">
        <v>178</v>
      </c>
      <c r="E9" s="61" t="s">
        <v>168</v>
      </c>
      <c r="F9" s="229" t="s">
        <v>169</v>
      </c>
      <c r="G9" s="61" t="s">
        <v>192</v>
      </c>
      <c r="H9" s="61" t="s">
        <v>190</v>
      </c>
      <c r="I9" s="61" t="s">
        <v>179</v>
      </c>
    </row>
    <row r="10" spans="1:13" x14ac:dyDescent="0.25">
      <c r="A10" s="355"/>
      <c r="B10" s="355"/>
      <c r="C10" s="355"/>
      <c r="D10" s="355"/>
      <c r="E10" s="355"/>
      <c r="F10" s="355"/>
      <c r="G10" s="355"/>
      <c r="H10" s="355"/>
      <c r="I10" s="355"/>
    </row>
    <row r="11" spans="1:13" ht="39.6" x14ac:dyDescent="0.25">
      <c r="A11" s="275" t="s">
        <v>372</v>
      </c>
      <c r="B11" s="276" t="s">
        <v>13</v>
      </c>
      <c r="C11" s="276" t="s">
        <v>373</v>
      </c>
      <c r="D11" s="276" t="s">
        <v>374</v>
      </c>
      <c r="E11" s="277" t="s">
        <v>375</v>
      </c>
      <c r="F11" s="275" t="s">
        <v>376</v>
      </c>
      <c r="G11" s="275" t="s">
        <v>377</v>
      </c>
      <c r="H11" s="238">
        <f>TRUNC(G11*(1-(SINTÉTICA!$I$56)),2)</f>
        <v>118975.61</v>
      </c>
      <c r="I11" s="108">
        <f t="shared" ref="I11:I42" si="0">F11*H11/(SUM($K:$K))</f>
        <v>0.73484946358809178</v>
      </c>
      <c r="K11" s="236">
        <f t="shared" ref="K11:K74" si="1">F11*H11</f>
        <v>237951.22</v>
      </c>
    </row>
    <row r="12" spans="1:13" x14ac:dyDescent="0.25">
      <c r="A12" s="278" t="s">
        <v>378</v>
      </c>
      <c r="B12" s="279" t="s">
        <v>10</v>
      </c>
      <c r="C12" s="279" t="s">
        <v>379</v>
      </c>
      <c r="D12" s="279" t="s">
        <v>56</v>
      </c>
      <c r="E12" s="280" t="s">
        <v>28</v>
      </c>
      <c r="F12" s="278" t="s">
        <v>380</v>
      </c>
      <c r="G12" s="278" t="s">
        <v>381</v>
      </c>
      <c r="H12" s="238">
        <f>TRUNC(G12*(1-(SINTÉTICA!$I$56)),2)</f>
        <v>106.56</v>
      </c>
      <c r="I12" s="222">
        <f t="shared" si="0"/>
        <v>7.9820331714200249E-2</v>
      </c>
      <c r="K12" s="236">
        <f t="shared" si="1"/>
        <v>25846.5798144</v>
      </c>
    </row>
    <row r="13" spans="1:13" x14ac:dyDescent="0.25">
      <c r="A13" s="278" t="s">
        <v>261</v>
      </c>
      <c r="B13" s="279" t="s">
        <v>10</v>
      </c>
      <c r="C13" s="279" t="s">
        <v>262</v>
      </c>
      <c r="D13" s="279" t="s">
        <v>56</v>
      </c>
      <c r="E13" s="280" t="s">
        <v>28</v>
      </c>
      <c r="F13" s="278" t="s">
        <v>382</v>
      </c>
      <c r="G13" s="278" t="s">
        <v>383</v>
      </c>
      <c r="H13" s="238">
        <f>TRUNC(G13*(1-(SINTÉTICA!$I$56)),2)</f>
        <v>17.52</v>
      </c>
      <c r="I13" s="222">
        <f t="shared" si="0"/>
        <v>3.5919848670143216E-2</v>
      </c>
      <c r="K13" s="236">
        <f t="shared" si="1"/>
        <v>11631.187388424001</v>
      </c>
    </row>
    <row r="14" spans="1:13" x14ac:dyDescent="0.25">
      <c r="A14" s="278" t="s">
        <v>265</v>
      </c>
      <c r="B14" s="279" t="s">
        <v>10</v>
      </c>
      <c r="C14" s="279" t="s">
        <v>266</v>
      </c>
      <c r="D14" s="279" t="s">
        <v>56</v>
      </c>
      <c r="E14" s="280" t="s">
        <v>28</v>
      </c>
      <c r="F14" s="278" t="s">
        <v>384</v>
      </c>
      <c r="G14" s="278" t="s">
        <v>385</v>
      </c>
      <c r="H14" s="238">
        <f>TRUNC(G14*(1-(SINTÉTICA!$I$56)),2)</f>
        <v>12.3</v>
      </c>
      <c r="I14" s="222">
        <f t="shared" si="0"/>
        <v>2.5796788250878815E-2</v>
      </c>
      <c r="K14" s="236">
        <f t="shared" si="1"/>
        <v>8353.2444950100016</v>
      </c>
    </row>
    <row r="15" spans="1:13" x14ac:dyDescent="0.25">
      <c r="A15" s="278" t="s">
        <v>386</v>
      </c>
      <c r="B15" s="279" t="s">
        <v>273</v>
      </c>
      <c r="C15" s="279" t="s">
        <v>387</v>
      </c>
      <c r="D15" s="279" t="s">
        <v>33</v>
      </c>
      <c r="E15" s="280" t="s">
        <v>16</v>
      </c>
      <c r="F15" s="278" t="s">
        <v>388</v>
      </c>
      <c r="G15" s="278" t="s">
        <v>389</v>
      </c>
      <c r="H15" s="238">
        <f>TRUNC(G15*(1-(SINTÉTICA!$I$56)),2)</f>
        <v>48.33</v>
      </c>
      <c r="I15" s="222">
        <f t="shared" si="0"/>
        <v>1.7552321396145758E-2</v>
      </c>
      <c r="K15" s="236">
        <f t="shared" si="1"/>
        <v>5683.6079999999993</v>
      </c>
    </row>
    <row r="16" spans="1:13" x14ac:dyDescent="0.25">
      <c r="A16" s="278" t="s">
        <v>90</v>
      </c>
      <c r="B16" s="279" t="s">
        <v>10</v>
      </c>
      <c r="C16" s="279" t="s">
        <v>332</v>
      </c>
      <c r="D16" s="279" t="s">
        <v>59</v>
      </c>
      <c r="E16" s="280" t="s">
        <v>28</v>
      </c>
      <c r="F16" s="278" t="s">
        <v>390</v>
      </c>
      <c r="G16" s="278" t="s">
        <v>391</v>
      </c>
      <c r="H16" s="238">
        <f>TRUNC(G16*(1-(SINTÉTICA!$I$56)),2)</f>
        <v>2.62</v>
      </c>
      <c r="I16" s="222">
        <f t="shared" si="0"/>
        <v>1.1222312835985111E-2</v>
      </c>
      <c r="K16" s="236">
        <f t="shared" si="1"/>
        <v>3633.8912428480003</v>
      </c>
    </row>
    <row r="17" spans="1:11" ht="26.4" x14ac:dyDescent="0.25">
      <c r="A17" s="278" t="s">
        <v>392</v>
      </c>
      <c r="B17" s="279" t="s">
        <v>10</v>
      </c>
      <c r="C17" s="279" t="s">
        <v>393</v>
      </c>
      <c r="D17" s="279" t="s">
        <v>33</v>
      </c>
      <c r="E17" s="280" t="s">
        <v>14</v>
      </c>
      <c r="F17" s="278" t="s">
        <v>376</v>
      </c>
      <c r="G17" s="278" t="s">
        <v>394</v>
      </c>
      <c r="H17" s="238">
        <f>TRUNC(G17*(1-(SINTÉTICA!$I$56)),2)</f>
        <v>1296.8699999999999</v>
      </c>
      <c r="I17" s="222">
        <f t="shared" si="0"/>
        <v>8.0100805857897129E-3</v>
      </c>
      <c r="K17" s="236">
        <f t="shared" si="1"/>
        <v>2593.7399999999998</v>
      </c>
    </row>
    <row r="18" spans="1:11" x14ac:dyDescent="0.25">
      <c r="A18" s="278" t="s">
        <v>95</v>
      </c>
      <c r="B18" s="279" t="s">
        <v>10</v>
      </c>
      <c r="C18" s="279" t="s">
        <v>335</v>
      </c>
      <c r="D18" s="279" t="s">
        <v>50</v>
      </c>
      <c r="E18" s="280" t="s">
        <v>28</v>
      </c>
      <c r="F18" s="278" t="s">
        <v>390</v>
      </c>
      <c r="G18" s="278" t="s">
        <v>395</v>
      </c>
      <c r="H18" s="238">
        <f>TRUNC(G18*(1-(SINTÉTICA!$I$56)),2)</f>
        <v>1.36</v>
      </c>
      <c r="I18" s="222">
        <f t="shared" si="0"/>
        <v>5.825322693488455E-3</v>
      </c>
      <c r="K18" s="236">
        <f t="shared" si="1"/>
        <v>1886.2946909440002</v>
      </c>
    </row>
    <row r="19" spans="1:11" ht="39.6" x14ac:dyDescent="0.25">
      <c r="A19" s="278" t="s">
        <v>396</v>
      </c>
      <c r="B19" s="279" t="s">
        <v>10</v>
      </c>
      <c r="C19" s="279" t="s">
        <v>397</v>
      </c>
      <c r="D19" s="279" t="s">
        <v>33</v>
      </c>
      <c r="E19" s="280" t="s">
        <v>16</v>
      </c>
      <c r="F19" s="278" t="s">
        <v>398</v>
      </c>
      <c r="G19" s="278" t="s">
        <v>399</v>
      </c>
      <c r="H19" s="238">
        <f>TRUNC(G19*(1-(SINTÉTICA!$I$56)),2)</f>
        <v>50.35</v>
      </c>
      <c r="I19" s="222">
        <f t="shared" si="0"/>
        <v>5.6817021562876281E-3</v>
      </c>
      <c r="K19" s="236">
        <f t="shared" si="1"/>
        <v>1839.789</v>
      </c>
    </row>
    <row r="20" spans="1:11" ht="26.4" x14ac:dyDescent="0.25">
      <c r="A20" s="278" t="s">
        <v>400</v>
      </c>
      <c r="B20" s="279" t="s">
        <v>10</v>
      </c>
      <c r="C20" s="279" t="s">
        <v>401</v>
      </c>
      <c r="D20" s="279" t="s">
        <v>33</v>
      </c>
      <c r="E20" s="280" t="s">
        <v>16</v>
      </c>
      <c r="F20" s="278" t="s">
        <v>402</v>
      </c>
      <c r="G20" s="278" t="s">
        <v>403</v>
      </c>
      <c r="H20" s="238">
        <f>TRUNC(G20*(1-(SINTÉTICA!$I$56)),2)</f>
        <v>5.89</v>
      </c>
      <c r="I20" s="222">
        <f t="shared" si="0"/>
        <v>5.2386360619363576E-3</v>
      </c>
      <c r="K20" s="236">
        <f t="shared" si="1"/>
        <v>1696.32</v>
      </c>
    </row>
    <row r="21" spans="1:11" x14ac:dyDescent="0.25">
      <c r="A21" s="278" t="s">
        <v>404</v>
      </c>
      <c r="B21" s="279" t="s">
        <v>273</v>
      </c>
      <c r="C21" s="279" t="s">
        <v>405</v>
      </c>
      <c r="D21" s="279" t="s">
        <v>33</v>
      </c>
      <c r="E21" s="280" t="s">
        <v>16</v>
      </c>
      <c r="F21" s="278" t="s">
        <v>406</v>
      </c>
      <c r="G21" s="278" t="s">
        <v>407</v>
      </c>
      <c r="H21" s="238">
        <f>TRUNC(G21*(1-(SINTÉTICA!$I$56)),2)</f>
        <v>76.61</v>
      </c>
      <c r="I21" s="222">
        <f t="shared" si="0"/>
        <v>5.2286332663526169E-3</v>
      </c>
      <c r="K21" s="236">
        <f t="shared" si="1"/>
        <v>1693.0810000000001</v>
      </c>
    </row>
    <row r="22" spans="1:11" ht="26.4" x14ac:dyDescent="0.25">
      <c r="A22" s="278" t="s">
        <v>408</v>
      </c>
      <c r="B22" s="279" t="s">
        <v>10</v>
      </c>
      <c r="C22" s="279" t="s">
        <v>409</v>
      </c>
      <c r="D22" s="279" t="s">
        <v>33</v>
      </c>
      <c r="E22" s="280" t="s">
        <v>14</v>
      </c>
      <c r="F22" s="278" t="s">
        <v>410</v>
      </c>
      <c r="G22" s="278" t="s">
        <v>411</v>
      </c>
      <c r="H22" s="238">
        <f>TRUNC(G22*(1-(SINTÉTICA!$I$56)),2)</f>
        <v>1550.87</v>
      </c>
      <c r="I22" s="222">
        <f t="shared" si="0"/>
        <v>4.7894521725707637E-3</v>
      </c>
      <c r="K22" s="236">
        <f t="shared" si="1"/>
        <v>1550.87</v>
      </c>
    </row>
    <row r="23" spans="1:11" x14ac:dyDescent="0.25">
      <c r="A23" s="278" t="s">
        <v>412</v>
      </c>
      <c r="B23" s="279" t="s">
        <v>10</v>
      </c>
      <c r="C23" s="279" t="s">
        <v>413</v>
      </c>
      <c r="D23" s="279" t="s">
        <v>33</v>
      </c>
      <c r="E23" s="280" t="s">
        <v>16</v>
      </c>
      <c r="F23" s="278" t="s">
        <v>414</v>
      </c>
      <c r="G23" s="278" t="s">
        <v>415</v>
      </c>
      <c r="H23" s="238">
        <f>TRUNC(G23*(1-(SINTÉTICA!$I$56)),2)</f>
        <v>12.6</v>
      </c>
      <c r="I23" s="222">
        <f t="shared" si="0"/>
        <v>4.7803109947603672E-3</v>
      </c>
      <c r="K23" s="236">
        <f t="shared" si="1"/>
        <v>1547.9099999999999</v>
      </c>
    </row>
    <row r="24" spans="1:11" x14ac:dyDescent="0.25">
      <c r="A24" s="278" t="s">
        <v>283</v>
      </c>
      <c r="B24" s="279" t="s">
        <v>10</v>
      </c>
      <c r="C24" s="279" t="s">
        <v>284</v>
      </c>
      <c r="D24" s="279" t="s">
        <v>33</v>
      </c>
      <c r="E24" s="280" t="s">
        <v>55</v>
      </c>
      <c r="F24" s="278" t="s">
        <v>416</v>
      </c>
      <c r="G24" s="278" t="s">
        <v>417</v>
      </c>
      <c r="H24" s="238">
        <f>TRUNC(G24*(1-(SINTÉTICA!$I$56)),2)</f>
        <v>4.5599999999999996</v>
      </c>
      <c r="I24" s="222">
        <f t="shared" si="0"/>
        <v>4.1686023992208408E-3</v>
      </c>
      <c r="K24" s="236">
        <f t="shared" si="1"/>
        <v>1349.83296</v>
      </c>
    </row>
    <row r="25" spans="1:11" ht="39.6" x14ac:dyDescent="0.25">
      <c r="A25" s="281" t="s">
        <v>418</v>
      </c>
      <c r="B25" s="282" t="s">
        <v>10</v>
      </c>
      <c r="C25" s="282" t="s">
        <v>419</v>
      </c>
      <c r="D25" s="282" t="s">
        <v>33</v>
      </c>
      <c r="E25" s="283" t="s">
        <v>16</v>
      </c>
      <c r="F25" s="281" t="s">
        <v>420</v>
      </c>
      <c r="G25" s="281" t="s">
        <v>421</v>
      </c>
      <c r="H25" s="238">
        <f>TRUNC(G25*(1-(SINTÉTICA!$I$56)),2)</f>
        <v>25.63</v>
      </c>
      <c r="I25" s="109">
        <f t="shared" si="0"/>
        <v>3.9365989666870476E-3</v>
      </c>
      <c r="K25" s="236">
        <f t="shared" si="1"/>
        <v>1274.70805</v>
      </c>
    </row>
    <row r="26" spans="1:11" ht="26.4" x14ac:dyDescent="0.25">
      <c r="A26" s="281" t="s">
        <v>422</v>
      </c>
      <c r="B26" s="282" t="s">
        <v>10</v>
      </c>
      <c r="C26" s="282" t="s">
        <v>423</v>
      </c>
      <c r="D26" s="282" t="s">
        <v>33</v>
      </c>
      <c r="E26" s="283" t="s">
        <v>14</v>
      </c>
      <c r="F26" s="281" t="s">
        <v>376</v>
      </c>
      <c r="G26" s="281" t="s">
        <v>424</v>
      </c>
      <c r="H26" s="238">
        <f>TRUNC(G26*(1-(SINTÉTICA!$I$56)),2)</f>
        <v>615.92999999999995</v>
      </c>
      <c r="I26" s="109">
        <f t="shared" si="0"/>
        <v>3.8042740869982791E-3</v>
      </c>
      <c r="K26" s="236">
        <f t="shared" si="1"/>
        <v>1231.8599999999999</v>
      </c>
    </row>
    <row r="27" spans="1:11" ht="26.4" x14ac:dyDescent="0.25">
      <c r="A27" s="281" t="s">
        <v>274</v>
      </c>
      <c r="B27" s="282" t="s">
        <v>10</v>
      </c>
      <c r="C27" s="282" t="s">
        <v>275</v>
      </c>
      <c r="D27" s="282" t="s">
        <v>43</v>
      </c>
      <c r="E27" s="283" t="s">
        <v>28</v>
      </c>
      <c r="F27" s="281" t="s">
        <v>425</v>
      </c>
      <c r="G27" s="281" t="s">
        <v>349</v>
      </c>
      <c r="H27" s="238">
        <f>TRUNC(G27*(1-(SINTÉTICA!$I$56)),2)</f>
        <v>0.91</v>
      </c>
      <c r="I27" s="109">
        <f t="shared" si="0"/>
        <v>3.69752643282303E-3</v>
      </c>
      <c r="K27" s="236">
        <f t="shared" si="1"/>
        <v>1197.2940979999998</v>
      </c>
    </row>
    <row r="28" spans="1:11" ht="39.6" x14ac:dyDescent="0.25">
      <c r="A28" s="281" t="s">
        <v>325</v>
      </c>
      <c r="B28" s="282" t="s">
        <v>10</v>
      </c>
      <c r="C28" s="282" t="s">
        <v>326</v>
      </c>
      <c r="D28" s="282" t="s">
        <v>33</v>
      </c>
      <c r="E28" s="283" t="s">
        <v>16</v>
      </c>
      <c r="F28" s="281" t="s">
        <v>426</v>
      </c>
      <c r="G28" s="281" t="s">
        <v>427</v>
      </c>
      <c r="H28" s="238">
        <f>TRUNC(G28*(1-(SINTÉTICA!$I$56)),2)</f>
        <v>9.5299999999999994</v>
      </c>
      <c r="I28" s="109">
        <f t="shared" si="0"/>
        <v>3.3852583079367316E-3</v>
      </c>
      <c r="K28" s="236">
        <f t="shared" si="1"/>
        <v>1096.1787199999999</v>
      </c>
    </row>
    <row r="29" spans="1:11" ht="26.4" x14ac:dyDescent="0.25">
      <c r="A29" s="281" t="s">
        <v>428</v>
      </c>
      <c r="B29" s="282" t="s">
        <v>10</v>
      </c>
      <c r="C29" s="282" t="s">
        <v>429</v>
      </c>
      <c r="D29" s="282" t="s">
        <v>33</v>
      </c>
      <c r="E29" s="283" t="s">
        <v>14</v>
      </c>
      <c r="F29" s="281" t="s">
        <v>430</v>
      </c>
      <c r="G29" s="281" t="s">
        <v>431</v>
      </c>
      <c r="H29" s="238">
        <f>TRUNC(G29*(1-(SINTÉTICA!$I$56)),2)</f>
        <v>76.66</v>
      </c>
      <c r="I29" s="109">
        <f t="shared" si="0"/>
        <v>3.0776739805016356E-3</v>
      </c>
      <c r="K29" s="236">
        <f t="shared" si="1"/>
        <v>996.57999999999993</v>
      </c>
    </row>
    <row r="30" spans="1:11" ht="26.4" x14ac:dyDescent="0.25">
      <c r="A30" s="281" t="s">
        <v>333</v>
      </c>
      <c r="B30" s="282" t="s">
        <v>10</v>
      </c>
      <c r="C30" s="282" t="s">
        <v>334</v>
      </c>
      <c r="D30" s="282" t="s">
        <v>43</v>
      </c>
      <c r="E30" s="283" t="s">
        <v>15</v>
      </c>
      <c r="F30" s="281" t="s">
        <v>376</v>
      </c>
      <c r="G30" s="281" t="s">
        <v>432</v>
      </c>
      <c r="H30" s="238">
        <f>TRUNC(G30*(1-(SINTÉTICA!$I$56)),2)</f>
        <v>457.03</v>
      </c>
      <c r="I30" s="109">
        <f t="shared" si="0"/>
        <v>2.8228327666793688E-3</v>
      </c>
      <c r="K30" s="236">
        <f t="shared" si="1"/>
        <v>914.06</v>
      </c>
    </row>
    <row r="31" spans="1:11" x14ac:dyDescent="0.25">
      <c r="A31" s="281" t="s">
        <v>92</v>
      </c>
      <c r="B31" s="282" t="s">
        <v>10</v>
      </c>
      <c r="C31" s="282" t="s">
        <v>336</v>
      </c>
      <c r="D31" s="282" t="s">
        <v>59</v>
      </c>
      <c r="E31" s="283" t="s">
        <v>28</v>
      </c>
      <c r="F31" s="281" t="s">
        <v>433</v>
      </c>
      <c r="G31" s="281" t="s">
        <v>337</v>
      </c>
      <c r="H31" s="238">
        <f>TRUNC(G31*(1-(SINTÉTICA!$I$56)),2)</f>
        <v>0.55000000000000004</v>
      </c>
      <c r="I31" s="109">
        <f t="shared" si="0"/>
        <v>2.7886143880052109E-3</v>
      </c>
      <c r="K31" s="236">
        <f t="shared" si="1"/>
        <v>902.97976472000005</v>
      </c>
    </row>
    <row r="32" spans="1:11" x14ac:dyDescent="0.25">
      <c r="A32" s="281" t="s">
        <v>342</v>
      </c>
      <c r="B32" s="282" t="s">
        <v>13</v>
      </c>
      <c r="C32" s="282" t="s">
        <v>343</v>
      </c>
      <c r="D32" s="282" t="s">
        <v>33</v>
      </c>
      <c r="E32" s="283" t="s">
        <v>14</v>
      </c>
      <c r="F32" s="281" t="s">
        <v>376</v>
      </c>
      <c r="G32" s="281" t="s">
        <v>434</v>
      </c>
      <c r="H32" s="238">
        <f>TRUNC(G32*(1-(SINTÉTICA!$I$56)),2)</f>
        <v>420.2</v>
      </c>
      <c r="I32" s="109">
        <f t="shared" si="0"/>
        <v>2.5953533215733555E-3</v>
      </c>
      <c r="K32" s="236">
        <f t="shared" si="1"/>
        <v>840.4</v>
      </c>
    </row>
    <row r="33" spans="1:11" ht="26.4" x14ac:dyDescent="0.25">
      <c r="A33" s="281" t="s">
        <v>278</v>
      </c>
      <c r="B33" s="282" t="s">
        <v>10</v>
      </c>
      <c r="C33" s="282" t="s">
        <v>279</v>
      </c>
      <c r="D33" s="282" t="s">
        <v>43</v>
      </c>
      <c r="E33" s="283" t="s">
        <v>28</v>
      </c>
      <c r="F33" s="281" t="s">
        <v>425</v>
      </c>
      <c r="G33" s="281" t="s">
        <v>351</v>
      </c>
      <c r="H33" s="238">
        <f>TRUNC(G33*(1-(SINTÉTICA!$I$56)),2)</f>
        <v>0.62</v>
      </c>
      <c r="I33" s="109">
        <f t="shared" si="0"/>
        <v>2.519193833351955E-3</v>
      </c>
      <c r="K33" s="236">
        <f t="shared" si="1"/>
        <v>815.73883599999999</v>
      </c>
    </row>
    <row r="34" spans="1:11" ht="26.4" x14ac:dyDescent="0.25">
      <c r="A34" s="281" t="s">
        <v>435</v>
      </c>
      <c r="B34" s="282" t="s">
        <v>10</v>
      </c>
      <c r="C34" s="282" t="s">
        <v>436</v>
      </c>
      <c r="D34" s="282" t="s">
        <v>33</v>
      </c>
      <c r="E34" s="283" t="s">
        <v>14</v>
      </c>
      <c r="F34" s="281" t="s">
        <v>437</v>
      </c>
      <c r="G34" s="281" t="s">
        <v>438</v>
      </c>
      <c r="H34" s="238">
        <f>TRUNC(G34*(1-(SINTÉTICA!$I$56)),2)</f>
        <v>1.37</v>
      </c>
      <c r="I34" s="109">
        <f t="shared" si="0"/>
        <v>2.0308238270664433E-3</v>
      </c>
      <c r="K34" s="236">
        <f t="shared" si="1"/>
        <v>657.6</v>
      </c>
    </row>
    <row r="35" spans="1:11" ht="26.4" x14ac:dyDescent="0.25">
      <c r="A35" s="281" t="s">
        <v>439</v>
      </c>
      <c r="B35" s="282" t="s">
        <v>10</v>
      </c>
      <c r="C35" s="282" t="s">
        <v>440</v>
      </c>
      <c r="D35" s="282" t="s">
        <v>33</v>
      </c>
      <c r="E35" s="283" t="s">
        <v>37</v>
      </c>
      <c r="F35" s="281" t="s">
        <v>441</v>
      </c>
      <c r="G35" s="281" t="s">
        <v>442</v>
      </c>
      <c r="H35" s="238">
        <f>TRUNC(G35*(1-(SINTÉTICA!$I$56)),2)</f>
        <v>49.21</v>
      </c>
      <c r="I35" s="109">
        <f t="shared" si="0"/>
        <v>1.5045236028686172E-3</v>
      </c>
      <c r="K35" s="236">
        <f t="shared" si="1"/>
        <v>487.17900000000003</v>
      </c>
    </row>
    <row r="36" spans="1:11" ht="26.4" x14ac:dyDescent="0.25">
      <c r="A36" s="281" t="s">
        <v>443</v>
      </c>
      <c r="B36" s="282" t="s">
        <v>10</v>
      </c>
      <c r="C36" s="282" t="s">
        <v>444</v>
      </c>
      <c r="D36" s="282" t="s">
        <v>33</v>
      </c>
      <c r="E36" s="283" t="s">
        <v>14</v>
      </c>
      <c r="F36" s="281" t="s">
        <v>445</v>
      </c>
      <c r="G36" s="281" t="s">
        <v>446</v>
      </c>
      <c r="H36" s="238">
        <f>TRUNC(G36*(1-(SINTÉTICA!$I$56)),2)</f>
        <v>114.66</v>
      </c>
      <c r="I36" s="109">
        <f t="shared" si="0"/>
        <v>1.4163884428919607E-3</v>
      </c>
      <c r="K36" s="236">
        <f t="shared" si="1"/>
        <v>458.64</v>
      </c>
    </row>
    <row r="37" spans="1:11" x14ac:dyDescent="0.25">
      <c r="A37" s="281" t="s">
        <v>447</v>
      </c>
      <c r="B37" s="282" t="s">
        <v>10</v>
      </c>
      <c r="C37" s="282" t="s">
        <v>448</v>
      </c>
      <c r="D37" s="282" t="s">
        <v>56</v>
      </c>
      <c r="E37" s="283" t="s">
        <v>28</v>
      </c>
      <c r="F37" s="281" t="s">
        <v>449</v>
      </c>
      <c r="G37" s="281" t="s">
        <v>450</v>
      </c>
      <c r="H37" s="238">
        <f>TRUNC(G37*(1-(SINTÉTICA!$I$56)),2)</f>
        <v>24.91</v>
      </c>
      <c r="I37" s="109">
        <f t="shared" si="0"/>
        <v>1.3896880754491181E-3</v>
      </c>
      <c r="K37" s="236">
        <f t="shared" si="1"/>
        <v>449.99416800000006</v>
      </c>
    </row>
    <row r="38" spans="1:11" x14ac:dyDescent="0.25">
      <c r="A38" s="281" t="s">
        <v>451</v>
      </c>
      <c r="B38" s="282" t="s">
        <v>10</v>
      </c>
      <c r="C38" s="282" t="s">
        <v>452</v>
      </c>
      <c r="D38" s="282" t="s">
        <v>56</v>
      </c>
      <c r="E38" s="283" t="s">
        <v>28</v>
      </c>
      <c r="F38" s="281" t="s">
        <v>453</v>
      </c>
      <c r="G38" s="281" t="s">
        <v>454</v>
      </c>
      <c r="H38" s="238">
        <f>TRUNC(G38*(1-(SINTÉTICA!$I$56)),2)</f>
        <v>13.29</v>
      </c>
      <c r="I38" s="109">
        <f t="shared" si="0"/>
        <v>1.3287312676912443E-3</v>
      </c>
      <c r="K38" s="236">
        <f t="shared" si="1"/>
        <v>430.25577599999997</v>
      </c>
    </row>
    <row r="39" spans="1:11" ht="39.6" x14ac:dyDescent="0.25">
      <c r="A39" s="281" t="s">
        <v>327</v>
      </c>
      <c r="B39" s="282" t="s">
        <v>10</v>
      </c>
      <c r="C39" s="282" t="s">
        <v>328</v>
      </c>
      <c r="D39" s="282" t="s">
        <v>43</v>
      </c>
      <c r="E39" s="283" t="s">
        <v>14</v>
      </c>
      <c r="F39" s="281" t="s">
        <v>455</v>
      </c>
      <c r="G39" s="281" t="s">
        <v>456</v>
      </c>
      <c r="H39" s="238">
        <f>TRUNC(G39*(1-(SINTÉTICA!$I$56)),2)</f>
        <v>268885.81</v>
      </c>
      <c r="I39" s="109">
        <f t="shared" si="0"/>
        <v>1.1866169786691277E-3</v>
      </c>
      <c r="K39" s="236">
        <f t="shared" si="1"/>
        <v>384.23782248999999</v>
      </c>
    </row>
    <row r="40" spans="1:11" ht="26.4" x14ac:dyDescent="0.25">
      <c r="A40" s="281" t="s">
        <v>32</v>
      </c>
      <c r="B40" s="282" t="s">
        <v>10</v>
      </c>
      <c r="C40" s="282" t="s">
        <v>340</v>
      </c>
      <c r="D40" s="282" t="s">
        <v>33</v>
      </c>
      <c r="E40" s="283" t="s">
        <v>12</v>
      </c>
      <c r="F40" s="281" t="s">
        <v>457</v>
      </c>
      <c r="G40" s="281" t="s">
        <v>341</v>
      </c>
      <c r="H40" s="238">
        <f>TRUNC(G40*(1-(SINTÉTICA!$I$56)),2)</f>
        <v>225</v>
      </c>
      <c r="I40" s="109">
        <f t="shared" si="0"/>
        <v>1.1117648688319943E-3</v>
      </c>
      <c r="K40" s="236">
        <f t="shared" si="1"/>
        <v>360</v>
      </c>
    </row>
    <row r="41" spans="1:11" x14ac:dyDescent="0.25">
      <c r="A41" s="281" t="s">
        <v>458</v>
      </c>
      <c r="B41" s="282" t="s">
        <v>269</v>
      </c>
      <c r="C41" s="282" t="s">
        <v>459</v>
      </c>
      <c r="D41" s="282" t="s">
        <v>33</v>
      </c>
      <c r="E41" s="283" t="s">
        <v>270</v>
      </c>
      <c r="F41" s="281" t="s">
        <v>437</v>
      </c>
      <c r="G41" s="281" t="s">
        <v>351</v>
      </c>
      <c r="H41" s="238">
        <f>TRUNC(G41*(1-(SINTÉTICA!$I$56)),2)</f>
        <v>0.62</v>
      </c>
      <c r="I41" s="109">
        <f t="shared" si="0"/>
        <v>9.1905895823444876E-4</v>
      </c>
      <c r="K41" s="236">
        <f t="shared" si="1"/>
        <v>297.60000000000002</v>
      </c>
    </row>
    <row r="42" spans="1:11" x14ac:dyDescent="0.25">
      <c r="A42" s="281" t="s">
        <v>460</v>
      </c>
      <c r="B42" s="282" t="s">
        <v>269</v>
      </c>
      <c r="C42" s="282" t="s">
        <v>461</v>
      </c>
      <c r="D42" s="282" t="s">
        <v>33</v>
      </c>
      <c r="E42" s="283" t="s">
        <v>270</v>
      </c>
      <c r="F42" s="281" t="s">
        <v>462</v>
      </c>
      <c r="G42" s="281" t="s">
        <v>463</v>
      </c>
      <c r="H42" s="238">
        <f>TRUNC(G42*(1-(SINTÉTICA!$I$56)),2)</f>
        <v>0.3</v>
      </c>
      <c r="I42" s="109">
        <f t="shared" si="0"/>
        <v>8.8941189506559553E-4</v>
      </c>
      <c r="K42" s="236">
        <f t="shared" si="1"/>
        <v>288</v>
      </c>
    </row>
    <row r="43" spans="1:11" x14ac:dyDescent="0.25">
      <c r="A43" s="281" t="s">
        <v>464</v>
      </c>
      <c r="B43" s="282" t="s">
        <v>13</v>
      </c>
      <c r="C43" s="282" t="s">
        <v>465</v>
      </c>
      <c r="D43" s="282" t="s">
        <v>42</v>
      </c>
      <c r="E43" s="283" t="s">
        <v>375</v>
      </c>
      <c r="F43" s="281" t="s">
        <v>410</v>
      </c>
      <c r="G43" s="281" t="s">
        <v>466</v>
      </c>
      <c r="H43" s="238">
        <f>TRUNC(G43*(1-(SINTÉTICA!$I$56)),2)</f>
        <v>233.94</v>
      </c>
      <c r="I43" s="109">
        <f t="shared" ref="I43:I74" si="2">F43*H43/(SUM($K:$K))</f>
        <v>7.22461870595991E-4</v>
      </c>
      <c r="K43" s="236">
        <f t="shared" si="1"/>
        <v>233.94</v>
      </c>
    </row>
    <row r="44" spans="1:11" x14ac:dyDescent="0.25">
      <c r="A44" s="281" t="s">
        <v>467</v>
      </c>
      <c r="B44" s="282" t="s">
        <v>10</v>
      </c>
      <c r="C44" s="282" t="s">
        <v>468</v>
      </c>
      <c r="D44" s="282" t="s">
        <v>56</v>
      </c>
      <c r="E44" s="283" t="s">
        <v>28</v>
      </c>
      <c r="F44" s="281" t="s">
        <v>469</v>
      </c>
      <c r="G44" s="281" t="s">
        <v>470</v>
      </c>
      <c r="H44" s="238">
        <f>TRUNC(G44*(1-(SINTÉTICA!$I$56)),2)</f>
        <v>25.83</v>
      </c>
      <c r="I44" s="109">
        <f t="shared" si="2"/>
        <v>6.1143037638110168E-4</v>
      </c>
      <c r="K44" s="236">
        <f t="shared" si="1"/>
        <v>197.98694999999998</v>
      </c>
    </row>
    <row r="45" spans="1:11" x14ac:dyDescent="0.25">
      <c r="A45" s="281" t="s">
        <v>471</v>
      </c>
      <c r="B45" s="282" t="s">
        <v>269</v>
      </c>
      <c r="C45" s="282" t="s">
        <v>472</v>
      </c>
      <c r="D45" s="282" t="s">
        <v>33</v>
      </c>
      <c r="E45" s="283" t="s">
        <v>473</v>
      </c>
      <c r="F45" s="281" t="s">
        <v>474</v>
      </c>
      <c r="G45" s="281" t="s">
        <v>475</v>
      </c>
      <c r="H45" s="238">
        <f>TRUNC(G45*(1-(SINTÉTICA!$I$56)),2)</f>
        <v>27.9</v>
      </c>
      <c r="I45" s="109">
        <f t="shared" si="2"/>
        <v>6.0313244134135695E-4</v>
      </c>
      <c r="K45" s="236">
        <f t="shared" si="1"/>
        <v>195.29999999999998</v>
      </c>
    </row>
    <row r="46" spans="1:11" ht="39.6" x14ac:dyDescent="0.25">
      <c r="A46" s="281" t="s">
        <v>476</v>
      </c>
      <c r="B46" s="282" t="s">
        <v>10</v>
      </c>
      <c r="C46" s="282" t="s">
        <v>477</v>
      </c>
      <c r="D46" s="282" t="s">
        <v>33</v>
      </c>
      <c r="E46" s="283" t="s">
        <v>16</v>
      </c>
      <c r="F46" s="281" t="s">
        <v>478</v>
      </c>
      <c r="G46" s="281" t="s">
        <v>479</v>
      </c>
      <c r="H46" s="238">
        <f>TRUNC(G46*(1-(SINTÉTICA!$I$56)),2)</f>
        <v>16.829999999999998</v>
      </c>
      <c r="I46" s="109">
        <f t="shared" si="2"/>
        <v>5.3378332823578916E-4</v>
      </c>
      <c r="K46" s="236">
        <f t="shared" si="1"/>
        <v>172.84409999999997</v>
      </c>
    </row>
    <row r="47" spans="1:11" x14ac:dyDescent="0.25">
      <c r="A47" s="281" t="s">
        <v>480</v>
      </c>
      <c r="B47" s="282" t="s">
        <v>10</v>
      </c>
      <c r="C47" s="282" t="s">
        <v>481</v>
      </c>
      <c r="D47" s="282" t="s">
        <v>33</v>
      </c>
      <c r="E47" s="283" t="s">
        <v>14</v>
      </c>
      <c r="F47" s="281" t="s">
        <v>376</v>
      </c>
      <c r="G47" s="281" t="s">
        <v>482</v>
      </c>
      <c r="H47" s="238">
        <f>TRUNC(G47*(1-(SINTÉTICA!$I$56)),2)</f>
        <v>83.54</v>
      </c>
      <c r="I47" s="109">
        <f t="shared" si="2"/>
        <v>5.1598242856791565E-4</v>
      </c>
      <c r="K47" s="236">
        <f t="shared" si="1"/>
        <v>167.08</v>
      </c>
    </row>
    <row r="48" spans="1:11" x14ac:dyDescent="0.25">
      <c r="A48" s="281" t="s">
        <v>280</v>
      </c>
      <c r="B48" s="282" t="s">
        <v>269</v>
      </c>
      <c r="C48" s="282" t="s">
        <v>483</v>
      </c>
      <c r="D48" s="282" t="s">
        <v>33</v>
      </c>
      <c r="E48" s="283" t="s">
        <v>17</v>
      </c>
      <c r="F48" s="281" t="s">
        <v>484</v>
      </c>
      <c r="G48" s="281" t="s">
        <v>485</v>
      </c>
      <c r="H48" s="238">
        <f>TRUNC(G48*(1-(SINTÉTICA!$I$56)),2)</f>
        <v>7.7</v>
      </c>
      <c r="I48" s="109">
        <f t="shared" si="2"/>
        <v>5.1363536940038151E-4</v>
      </c>
      <c r="K48" s="236">
        <f t="shared" si="1"/>
        <v>166.32000000000002</v>
      </c>
    </row>
    <row r="49" spans="1:11" ht="26.4" x14ac:dyDescent="0.25">
      <c r="A49" s="281" t="s">
        <v>287</v>
      </c>
      <c r="B49" s="282" t="s">
        <v>10</v>
      </c>
      <c r="C49" s="282" t="s">
        <v>288</v>
      </c>
      <c r="D49" s="282" t="s">
        <v>33</v>
      </c>
      <c r="E49" s="283" t="s">
        <v>14</v>
      </c>
      <c r="F49" s="281" t="s">
        <v>486</v>
      </c>
      <c r="G49" s="281" t="s">
        <v>487</v>
      </c>
      <c r="H49" s="238">
        <f>TRUNC(G49*(1-(SINTÉTICA!$I$56)),2)</f>
        <v>1.53</v>
      </c>
      <c r="I49" s="109">
        <f t="shared" si="2"/>
        <v>4.252500623282378E-4</v>
      </c>
      <c r="K49" s="236">
        <f t="shared" si="1"/>
        <v>137.69999999999999</v>
      </c>
    </row>
    <row r="50" spans="1:11" ht="26.4" x14ac:dyDescent="0.25">
      <c r="A50" s="281" t="s">
        <v>488</v>
      </c>
      <c r="B50" s="282" t="s">
        <v>10</v>
      </c>
      <c r="C50" s="282" t="s">
        <v>489</v>
      </c>
      <c r="D50" s="282" t="s">
        <v>33</v>
      </c>
      <c r="E50" s="283" t="s">
        <v>14</v>
      </c>
      <c r="F50" s="281" t="s">
        <v>490</v>
      </c>
      <c r="G50" s="281" t="s">
        <v>491</v>
      </c>
      <c r="H50" s="238">
        <f>TRUNC(G50*(1-(SINTÉTICA!$I$56)),2)</f>
        <v>2.08</v>
      </c>
      <c r="I50" s="109">
        <f t="shared" si="2"/>
        <v>4.2395300331460052E-4</v>
      </c>
      <c r="K50" s="236">
        <f t="shared" si="1"/>
        <v>137.28</v>
      </c>
    </row>
    <row r="51" spans="1:11" x14ac:dyDescent="0.25">
      <c r="A51" s="281" t="s">
        <v>263</v>
      </c>
      <c r="B51" s="282" t="s">
        <v>10</v>
      </c>
      <c r="C51" s="282" t="s">
        <v>264</v>
      </c>
      <c r="D51" s="282" t="s">
        <v>56</v>
      </c>
      <c r="E51" s="283" t="s">
        <v>28</v>
      </c>
      <c r="F51" s="281" t="s">
        <v>492</v>
      </c>
      <c r="G51" s="281" t="s">
        <v>383</v>
      </c>
      <c r="H51" s="238">
        <f>TRUNC(G51*(1-(SINTÉTICA!$I$56)),2)</f>
        <v>17.52</v>
      </c>
      <c r="I51" s="109">
        <f t="shared" si="2"/>
        <v>4.1142673015629128E-4</v>
      </c>
      <c r="K51" s="236">
        <f t="shared" si="1"/>
        <v>133.223874048</v>
      </c>
    </row>
    <row r="52" spans="1:11" ht="26.4" x14ac:dyDescent="0.25">
      <c r="A52" s="281" t="s">
        <v>294</v>
      </c>
      <c r="B52" s="282" t="s">
        <v>10</v>
      </c>
      <c r="C52" s="282" t="s">
        <v>295</v>
      </c>
      <c r="D52" s="282" t="s">
        <v>43</v>
      </c>
      <c r="E52" s="283" t="s">
        <v>28</v>
      </c>
      <c r="F52" s="281" t="s">
        <v>493</v>
      </c>
      <c r="G52" s="281" t="s">
        <v>337</v>
      </c>
      <c r="H52" s="238">
        <f>TRUNC(G52*(1-(SINTÉTICA!$I$56)),2)</f>
        <v>0.55000000000000004</v>
      </c>
      <c r="I52" s="109">
        <f t="shared" si="2"/>
        <v>4.0221182365744154E-4</v>
      </c>
      <c r="K52" s="236">
        <f t="shared" si="1"/>
        <v>130.24</v>
      </c>
    </row>
    <row r="53" spans="1:11" x14ac:dyDescent="0.25">
      <c r="A53" s="281" t="s">
        <v>119</v>
      </c>
      <c r="B53" s="282" t="s">
        <v>10</v>
      </c>
      <c r="C53" s="282" t="s">
        <v>331</v>
      </c>
      <c r="D53" s="282" t="s">
        <v>56</v>
      </c>
      <c r="E53" s="283" t="s">
        <v>28</v>
      </c>
      <c r="F53" s="281" t="s">
        <v>494</v>
      </c>
      <c r="G53" s="281" t="s">
        <v>495</v>
      </c>
      <c r="H53" s="238">
        <f>TRUNC(G53*(1-(SINTÉTICA!$I$56)),2)</f>
        <v>11.43</v>
      </c>
      <c r="I53" s="109">
        <f t="shared" si="2"/>
        <v>3.9948919198236018E-4</v>
      </c>
      <c r="K53" s="236">
        <f t="shared" si="1"/>
        <v>129.35838606299998</v>
      </c>
    </row>
    <row r="54" spans="1:11" x14ac:dyDescent="0.25">
      <c r="A54" s="281" t="s">
        <v>496</v>
      </c>
      <c r="B54" s="282" t="s">
        <v>269</v>
      </c>
      <c r="C54" s="282" t="s">
        <v>497</v>
      </c>
      <c r="D54" s="282" t="s">
        <v>33</v>
      </c>
      <c r="E54" s="283" t="s">
        <v>270</v>
      </c>
      <c r="F54" s="281" t="s">
        <v>437</v>
      </c>
      <c r="G54" s="281" t="s">
        <v>498</v>
      </c>
      <c r="H54" s="238">
        <f>TRUNC(G54*(1-(SINTÉTICA!$I$56)),2)</f>
        <v>0.25</v>
      </c>
      <c r="I54" s="109">
        <f t="shared" si="2"/>
        <v>3.7058828961066481E-4</v>
      </c>
      <c r="K54" s="236">
        <f t="shared" si="1"/>
        <v>120</v>
      </c>
    </row>
    <row r="55" spans="1:11" ht="26.4" x14ac:dyDescent="0.25">
      <c r="A55" s="281" t="s">
        <v>499</v>
      </c>
      <c r="B55" s="282" t="s">
        <v>10</v>
      </c>
      <c r="C55" s="282" t="s">
        <v>500</v>
      </c>
      <c r="D55" s="282" t="s">
        <v>33</v>
      </c>
      <c r="E55" s="283" t="s">
        <v>14</v>
      </c>
      <c r="F55" s="281" t="s">
        <v>410</v>
      </c>
      <c r="G55" s="281" t="s">
        <v>501</v>
      </c>
      <c r="H55" s="238">
        <f>TRUNC(G55*(1-(SINTÉTICA!$I$56)),2)</f>
        <v>117.48</v>
      </c>
      <c r="I55" s="109">
        <f t="shared" si="2"/>
        <v>3.6280593552884082E-4</v>
      </c>
      <c r="K55" s="236">
        <f t="shared" si="1"/>
        <v>117.48</v>
      </c>
    </row>
    <row r="56" spans="1:11" x14ac:dyDescent="0.25">
      <c r="A56" s="281" t="s">
        <v>502</v>
      </c>
      <c r="B56" s="282" t="s">
        <v>269</v>
      </c>
      <c r="C56" s="282" t="s">
        <v>503</v>
      </c>
      <c r="D56" s="282" t="s">
        <v>33</v>
      </c>
      <c r="E56" s="283" t="s">
        <v>270</v>
      </c>
      <c r="F56" s="281" t="s">
        <v>437</v>
      </c>
      <c r="G56" s="281" t="s">
        <v>358</v>
      </c>
      <c r="H56" s="238">
        <f>TRUNC(G56*(1-(SINTÉTICA!$I$56)),2)</f>
        <v>0.23</v>
      </c>
      <c r="I56" s="109">
        <f t="shared" si="2"/>
        <v>3.4094122644181163E-4</v>
      </c>
      <c r="K56" s="236">
        <f t="shared" si="1"/>
        <v>110.4</v>
      </c>
    </row>
    <row r="57" spans="1:11" ht="52.8" x14ac:dyDescent="0.25">
      <c r="A57" s="281" t="s">
        <v>504</v>
      </c>
      <c r="B57" s="282" t="s">
        <v>10</v>
      </c>
      <c r="C57" s="282" t="s">
        <v>505</v>
      </c>
      <c r="D57" s="282" t="s">
        <v>43</v>
      </c>
      <c r="E57" s="283" t="s">
        <v>14</v>
      </c>
      <c r="F57" s="281" t="s">
        <v>455</v>
      </c>
      <c r="G57" s="281" t="s">
        <v>506</v>
      </c>
      <c r="H57" s="238">
        <f>TRUNC(G57*(1-(SINTÉTICA!$I$56)),2)</f>
        <v>75359.37</v>
      </c>
      <c r="I57" s="109">
        <f t="shared" si="2"/>
        <v>3.3256759791009012E-4</v>
      </c>
      <c r="K57" s="236">
        <f t="shared" si="1"/>
        <v>107.68853972999999</v>
      </c>
    </row>
    <row r="58" spans="1:11" x14ac:dyDescent="0.25">
      <c r="A58" s="281" t="s">
        <v>507</v>
      </c>
      <c r="B58" s="282" t="s">
        <v>10</v>
      </c>
      <c r="C58" s="282" t="s">
        <v>508</v>
      </c>
      <c r="D58" s="282" t="s">
        <v>56</v>
      </c>
      <c r="E58" s="283" t="s">
        <v>28</v>
      </c>
      <c r="F58" s="281" t="s">
        <v>509</v>
      </c>
      <c r="G58" s="281" t="s">
        <v>510</v>
      </c>
      <c r="H58" s="238">
        <f>TRUNC(G58*(1-(SINTÉTICA!$I$56)),2)</f>
        <v>13.67</v>
      </c>
      <c r="I58" s="109">
        <f t="shared" si="2"/>
        <v>3.1882915808382144E-4</v>
      </c>
      <c r="K58" s="236">
        <f t="shared" si="1"/>
        <v>103.239902724</v>
      </c>
    </row>
    <row r="59" spans="1:11" x14ac:dyDescent="0.25">
      <c r="A59" s="281" t="s">
        <v>94</v>
      </c>
      <c r="B59" s="282" t="s">
        <v>10</v>
      </c>
      <c r="C59" s="282" t="s">
        <v>353</v>
      </c>
      <c r="D59" s="282" t="s">
        <v>42</v>
      </c>
      <c r="E59" s="283" t="s">
        <v>28</v>
      </c>
      <c r="F59" s="281" t="s">
        <v>433</v>
      </c>
      <c r="G59" s="281" t="s">
        <v>511</v>
      </c>
      <c r="H59" s="238">
        <f>TRUNC(G59*(1-(SINTÉTICA!$I$56)),2)</f>
        <v>0.06</v>
      </c>
      <c r="I59" s="109">
        <f t="shared" si="2"/>
        <v>3.0421247869147756E-4</v>
      </c>
      <c r="K59" s="236">
        <f t="shared" si="1"/>
        <v>98.506883423999994</v>
      </c>
    </row>
    <row r="60" spans="1:11" x14ac:dyDescent="0.25">
      <c r="A60" s="281" t="s">
        <v>115</v>
      </c>
      <c r="B60" s="282" t="s">
        <v>10</v>
      </c>
      <c r="C60" s="282" t="s">
        <v>58</v>
      </c>
      <c r="D60" s="282" t="s">
        <v>56</v>
      </c>
      <c r="E60" s="283" t="s">
        <v>28</v>
      </c>
      <c r="F60" s="281" t="s">
        <v>512</v>
      </c>
      <c r="G60" s="281" t="s">
        <v>383</v>
      </c>
      <c r="H60" s="238">
        <f>TRUNC(G60*(1-(SINTÉTICA!$I$56)),2)</f>
        <v>17.52</v>
      </c>
      <c r="I60" s="109">
        <f t="shared" si="2"/>
        <v>2.9658360182273672E-4</v>
      </c>
      <c r="K60" s="236">
        <f t="shared" si="1"/>
        <v>96.036580799999996</v>
      </c>
    </row>
    <row r="61" spans="1:11" x14ac:dyDescent="0.25">
      <c r="A61" s="281" t="s">
        <v>513</v>
      </c>
      <c r="B61" s="282" t="s">
        <v>10</v>
      </c>
      <c r="C61" s="282" t="s">
        <v>514</v>
      </c>
      <c r="D61" s="282" t="s">
        <v>33</v>
      </c>
      <c r="E61" s="283" t="s">
        <v>16</v>
      </c>
      <c r="F61" s="281" t="s">
        <v>515</v>
      </c>
      <c r="G61" s="281" t="s">
        <v>516</v>
      </c>
      <c r="H61" s="238">
        <f>TRUNC(G61*(1-(SINTÉTICA!$I$56)),2)</f>
        <v>9.84</v>
      </c>
      <c r="I61" s="109">
        <f t="shared" si="2"/>
        <v>2.9172710158151532E-4</v>
      </c>
      <c r="K61" s="236">
        <f t="shared" si="1"/>
        <v>94.463999999999999</v>
      </c>
    </row>
    <row r="62" spans="1:11" x14ac:dyDescent="0.25">
      <c r="A62" s="281" t="s">
        <v>517</v>
      </c>
      <c r="B62" s="282" t="s">
        <v>13</v>
      </c>
      <c r="C62" s="282" t="s">
        <v>518</v>
      </c>
      <c r="D62" s="282" t="s">
        <v>42</v>
      </c>
      <c r="E62" s="283" t="s">
        <v>375</v>
      </c>
      <c r="F62" s="281" t="s">
        <v>410</v>
      </c>
      <c r="G62" s="281" t="s">
        <v>519</v>
      </c>
      <c r="H62" s="238">
        <f>TRUNC(G62*(1-(SINTÉTICA!$I$56)),2)</f>
        <v>88.78</v>
      </c>
      <c r="I62" s="109">
        <f t="shared" si="2"/>
        <v>2.7417356959695685E-4</v>
      </c>
      <c r="K62" s="236">
        <f t="shared" si="1"/>
        <v>88.78</v>
      </c>
    </row>
    <row r="63" spans="1:11" x14ac:dyDescent="0.25">
      <c r="A63" s="281" t="s">
        <v>117</v>
      </c>
      <c r="B63" s="282" t="s">
        <v>10</v>
      </c>
      <c r="C63" s="282" t="s">
        <v>57</v>
      </c>
      <c r="D63" s="282" t="s">
        <v>56</v>
      </c>
      <c r="E63" s="283" t="s">
        <v>28</v>
      </c>
      <c r="F63" s="281" t="s">
        <v>520</v>
      </c>
      <c r="G63" s="281" t="s">
        <v>383</v>
      </c>
      <c r="H63" s="238">
        <f>TRUNC(G63*(1-(SINTÉTICA!$I$56)),2)</f>
        <v>17.52</v>
      </c>
      <c r="I63" s="109">
        <f t="shared" si="2"/>
        <v>2.1147904024321166E-4</v>
      </c>
      <c r="K63" s="236">
        <f t="shared" si="1"/>
        <v>68.478917280000005</v>
      </c>
    </row>
    <row r="64" spans="1:11" ht="26.4" x14ac:dyDescent="0.25">
      <c r="A64" s="281" t="s">
        <v>521</v>
      </c>
      <c r="B64" s="282" t="s">
        <v>10</v>
      </c>
      <c r="C64" s="282" t="s">
        <v>522</v>
      </c>
      <c r="D64" s="282" t="s">
        <v>33</v>
      </c>
      <c r="E64" s="283" t="s">
        <v>14</v>
      </c>
      <c r="F64" s="281" t="s">
        <v>523</v>
      </c>
      <c r="G64" s="281" t="s">
        <v>524</v>
      </c>
      <c r="H64" s="238">
        <f>TRUNC(G64*(1-(SINTÉTICA!$I$56)),2)</f>
        <v>4.0999999999999996</v>
      </c>
      <c r="I64" s="109">
        <f t="shared" si="2"/>
        <v>1.5194119874037255E-4</v>
      </c>
      <c r="K64" s="236">
        <f t="shared" si="1"/>
        <v>49.199999999999996</v>
      </c>
    </row>
    <row r="65" spans="1:11" ht="39.6" x14ac:dyDescent="0.25">
      <c r="A65" s="281" t="s">
        <v>289</v>
      </c>
      <c r="B65" s="282" t="s">
        <v>10</v>
      </c>
      <c r="C65" s="282" t="s">
        <v>290</v>
      </c>
      <c r="D65" s="282" t="s">
        <v>33</v>
      </c>
      <c r="E65" s="283" t="s">
        <v>14</v>
      </c>
      <c r="F65" s="281" t="s">
        <v>525</v>
      </c>
      <c r="G65" s="281" t="s">
        <v>526</v>
      </c>
      <c r="H65" s="238">
        <f>TRUNC(G65*(1-(SINTÉTICA!$I$56)),2)</f>
        <v>0.33</v>
      </c>
      <c r="I65" s="109">
        <f t="shared" si="2"/>
        <v>1.3452354912867133E-4</v>
      </c>
      <c r="K65" s="236">
        <f t="shared" si="1"/>
        <v>43.56</v>
      </c>
    </row>
    <row r="66" spans="1:11" ht="26.4" x14ac:dyDescent="0.25">
      <c r="A66" s="281" t="s">
        <v>527</v>
      </c>
      <c r="B66" s="282" t="s">
        <v>10</v>
      </c>
      <c r="C66" s="282" t="s">
        <v>528</v>
      </c>
      <c r="D66" s="282" t="s">
        <v>33</v>
      </c>
      <c r="E66" s="283" t="s">
        <v>16</v>
      </c>
      <c r="F66" s="281" t="s">
        <v>529</v>
      </c>
      <c r="G66" s="281" t="s">
        <v>530</v>
      </c>
      <c r="H66" s="238">
        <f>TRUNC(G66*(1-(SINTÉTICA!$I$56)),2)</f>
        <v>5.95</v>
      </c>
      <c r="I66" s="109">
        <f t="shared" si="2"/>
        <v>1.3230001939100734E-4</v>
      </c>
      <c r="K66" s="236">
        <f t="shared" si="1"/>
        <v>42.84</v>
      </c>
    </row>
    <row r="67" spans="1:11" ht="26.4" x14ac:dyDescent="0.25">
      <c r="A67" s="281" t="s">
        <v>34</v>
      </c>
      <c r="B67" s="282" t="s">
        <v>10</v>
      </c>
      <c r="C67" s="282" t="s">
        <v>531</v>
      </c>
      <c r="D67" s="282" t="s">
        <v>33</v>
      </c>
      <c r="E67" s="283" t="s">
        <v>16</v>
      </c>
      <c r="F67" s="281" t="s">
        <v>532</v>
      </c>
      <c r="G67" s="281" t="s">
        <v>533</v>
      </c>
      <c r="H67" s="238">
        <f>TRUNC(G67*(1-(SINTÉTICA!$I$56)),2)</f>
        <v>6.49</v>
      </c>
      <c r="I67" s="109">
        <f t="shared" si="2"/>
        <v>1.282729599772381E-4</v>
      </c>
      <c r="K67" s="236">
        <f t="shared" si="1"/>
        <v>41.536000000000001</v>
      </c>
    </row>
    <row r="68" spans="1:11" x14ac:dyDescent="0.25">
      <c r="A68" s="281" t="s">
        <v>534</v>
      </c>
      <c r="B68" s="282" t="s">
        <v>10</v>
      </c>
      <c r="C68" s="282" t="s">
        <v>535</v>
      </c>
      <c r="D68" s="282" t="s">
        <v>33</v>
      </c>
      <c r="E68" s="283" t="s">
        <v>14</v>
      </c>
      <c r="F68" s="281" t="s">
        <v>445</v>
      </c>
      <c r="G68" s="281" t="s">
        <v>536</v>
      </c>
      <c r="H68" s="238">
        <f>TRUNC(G68*(1-(SINTÉTICA!$I$56)),2)</f>
        <v>9.9600000000000009</v>
      </c>
      <c r="I68" s="109">
        <f t="shared" si="2"/>
        <v>1.2303531215074071E-4</v>
      </c>
      <c r="K68" s="236">
        <f t="shared" si="1"/>
        <v>39.840000000000003</v>
      </c>
    </row>
    <row r="69" spans="1:11" ht="26.4" x14ac:dyDescent="0.25">
      <c r="A69" s="281" t="s">
        <v>537</v>
      </c>
      <c r="B69" s="282" t="s">
        <v>10</v>
      </c>
      <c r="C69" s="282" t="s">
        <v>538</v>
      </c>
      <c r="D69" s="282" t="s">
        <v>33</v>
      </c>
      <c r="E69" s="283" t="s">
        <v>14</v>
      </c>
      <c r="F69" s="281" t="s">
        <v>539</v>
      </c>
      <c r="G69" s="281" t="s">
        <v>540</v>
      </c>
      <c r="H69" s="238">
        <f>TRUNC(G69*(1-(SINTÉTICA!$I$56)),2)</f>
        <v>4.78</v>
      </c>
      <c r="I69" s="109">
        <f t="shared" si="2"/>
        <v>1.1809413495593186E-4</v>
      </c>
      <c r="K69" s="236">
        <f t="shared" si="1"/>
        <v>38.24</v>
      </c>
    </row>
    <row r="70" spans="1:11" ht="26.4" x14ac:dyDescent="0.25">
      <c r="A70" s="281" t="s">
        <v>48</v>
      </c>
      <c r="B70" s="282" t="s">
        <v>10</v>
      </c>
      <c r="C70" s="282" t="s">
        <v>49</v>
      </c>
      <c r="D70" s="282" t="s">
        <v>33</v>
      </c>
      <c r="E70" s="283" t="s">
        <v>14</v>
      </c>
      <c r="F70" s="281" t="s">
        <v>541</v>
      </c>
      <c r="G70" s="281" t="s">
        <v>542</v>
      </c>
      <c r="H70" s="238">
        <f>TRUNC(G70*(1-(SINTÉTICA!$I$56)),2)</f>
        <v>1.43</v>
      </c>
      <c r="I70" s="109">
        <f t="shared" si="2"/>
        <v>1.0598825082865013E-4</v>
      </c>
      <c r="K70" s="236">
        <f t="shared" si="1"/>
        <v>34.32</v>
      </c>
    </row>
    <row r="71" spans="1:11" x14ac:dyDescent="0.25">
      <c r="A71" s="281" t="s">
        <v>543</v>
      </c>
      <c r="B71" s="282" t="s">
        <v>10</v>
      </c>
      <c r="C71" s="282" t="s">
        <v>544</v>
      </c>
      <c r="D71" s="282" t="s">
        <v>33</v>
      </c>
      <c r="E71" s="283" t="s">
        <v>55</v>
      </c>
      <c r="F71" s="281" t="s">
        <v>545</v>
      </c>
      <c r="G71" s="281" t="s">
        <v>546</v>
      </c>
      <c r="H71" s="238">
        <f>TRUNC(G71*(1-(SINTÉTICA!$I$56)),2)</f>
        <v>21.84</v>
      </c>
      <c r="I71" s="109">
        <f t="shared" si="2"/>
        <v>8.9030130696066118E-5</v>
      </c>
      <c r="K71" s="236">
        <f t="shared" si="1"/>
        <v>28.828800000000001</v>
      </c>
    </row>
    <row r="72" spans="1:11" x14ac:dyDescent="0.25">
      <c r="A72" s="281" t="s">
        <v>110</v>
      </c>
      <c r="B72" s="282" t="s">
        <v>10</v>
      </c>
      <c r="C72" s="282" t="s">
        <v>67</v>
      </c>
      <c r="D72" s="282" t="s">
        <v>56</v>
      </c>
      <c r="E72" s="283" t="s">
        <v>28</v>
      </c>
      <c r="F72" s="281" t="s">
        <v>547</v>
      </c>
      <c r="G72" s="281" t="s">
        <v>383</v>
      </c>
      <c r="H72" s="238">
        <f>TRUNC(G72*(1-(SINTÉTICA!$I$56)),2)</f>
        <v>17.52</v>
      </c>
      <c r="I72" s="109">
        <f t="shared" si="2"/>
        <v>8.7279293733566322E-5</v>
      </c>
      <c r="K72" s="236">
        <f t="shared" si="1"/>
        <v>28.261862400000002</v>
      </c>
    </row>
    <row r="73" spans="1:11" ht="26.4" x14ac:dyDescent="0.25">
      <c r="A73" s="281" t="s">
        <v>120</v>
      </c>
      <c r="B73" s="282" t="s">
        <v>10</v>
      </c>
      <c r="C73" s="282" t="s">
        <v>71</v>
      </c>
      <c r="D73" s="282" t="s">
        <v>43</v>
      </c>
      <c r="E73" s="283" t="s">
        <v>28</v>
      </c>
      <c r="F73" s="281" t="s">
        <v>548</v>
      </c>
      <c r="G73" s="281" t="s">
        <v>347</v>
      </c>
      <c r="H73" s="238">
        <f>TRUNC(G73*(1-(SINTÉTICA!$I$56)),2)</f>
        <v>0.63</v>
      </c>
      <c r="I73" s="109">
        <f t="shared" si="2"/>
        <v>7.894516793087004E-5</v>
      </c>
      <c r="K73" s="236">
        <f t="shared" si="1"/>
        <v>25.563193488000003</v>
      </c>
    </row>
    <row r="74" spans="1:11" ht="26.4" x14ac:dyDescent="0.25">
      <c r="A74" s="281" t="s">
        <v>549</v>
      </c>
      <c r="B74" s="282" t="s">
        <v>10</v>
      </c>
      <c r="C74" s="282" t="s">
        <v>550</v>
      </c>
      <c r="D74" s="282" t="s">
        <v>33</v>
      </c>
      <c r="E74" s="283" t="s">
        <v>14</v>
      </c>
      <c r="F74" s="281" t="s">
        <v>551</v>
      </c>
      <c r="G74" s="281" t="s">
        <v>552</v>
      </c>
      <c r="H74" s="238">
        <f>TRUNC(G74*(1-(SINTÉTICA!$I$56)),2)</f>
        <v>2.44</v>
      </c>
      <c r="I74" s="109">
        <f t="shared" si="2"/>
        <v>7.5352952220835174E-5</v>
      </c>
      <c r="K74" s="236">
        <f t="shared" si="1"/>
        <v>24.4</v>
      </c>
    </row>
    <row r="75" spans="1:11" ht="26.4" x14ac:dyDescent="0.25">
      <c r="A75" s="281" t="s">
        <v>553</v>
      </c>
      <c r="B75" s="282" t="s">
        <v>10</v>
      </c>
      <c r="C75" s="282" t="s">
        <v>554</v>
      </c>
      <c r="D75" s="282" t="s">
        <v>33</v>
      </c>
      <c r="E75" s="283" t="s">
        <v>12</v>
      </c>
      <c r="F75" s="281" t="s">
        <v>457</v>
      </c>
      <c r="G75" s="281" t="s">
        <v>555</v>
      </c>
      <c r="H75" s="238">
        <f>TRUNC(G75*(1-(SINTÉTICA!$I$56)),2)</f>
        <v>13.05</v>
      </c>
      <c r="I75" s="109">
        <f t="shared" ref="I75:I106" si="3">F75*H75/(SUM($K:$K))</f>
        <v>6.4482362392255686E-5</v>
      </c>
      <c r="K75" s="236">
        <f t="shared" ref="K75:K114" si="4">F75*H75</f>
        <v>20.880000000000003</v>
      </c>
    </row>
    <row r="76" spans="1:11" x14ac:dyDescent="0.25">
      <c r="A76" s="281" t="s">
        <v>368</v>
      </c>
      <c r="B76" s="282" t="s">
        <v>10</v>
      </c>
      <c r="C76" s="282" t="s">
        <v>369</v>
      </c>
      <c r="D76" s="282" t="s">
        <v>33</v>
      </c>
      <c r="E76" s="283" t="s">
        <v>12</v>
      </c>
      <c r="F76" s="281" t="s">
        <v>556</v>
      </c>
      <c r="G76" s="281" t="s">
        <v>557</v>
      </c>
      <c r="H76" s="238">
        <f>TRUNC(G76*(1-(SINTÉTICA!$I$56)),2)</f>
        <v>1.22</v>
      </c>
      <c r="I76" s="109">
        <f t="shared" si="3"/>
        <v>6.0282361776668135E-5</v>
      </c>
      <c r="K76" s="236">
        <f t="shared" si="4"/>
        <v>19.52</v>
      </c>
    </row>
    <row r="77" spans="1:11" ht="26.4" x14ac:dyDescent="0.25">
      <c r="A77" s="281" t="s">
        <v>558</v>
      </c>
      <c r="B77" s="282" t="s">
        <v>10</v>
      </c>
      <c r="C77" s="282" t="s">
        <v>559</v>
      </c>
      <c r="D77" s="282" t="s">
        <v>33</v>
      </c>
      <c r="E77" s="283" t="s">
        <v>16</v>
      </c>
      <c r="F77" s="281" t="s">
        <v>515</v>
      </c>
      <c r="G77" s="281" t="s">
        <v>560</v>
      </c>
      <c r="H77" s="238">
        <f>TRUNC(G77*(1-(SINTÉTICA!$I$56)),2)</f>
        <v>1.93</v>
      </c>
      <c r="I77" s="109">
        <f t="shared" si="3"/>
        <v>5.7218831915886643E-5</v>
      </c>
      <c r="K77" s="236">
        <f t="shared" si="4"/>
        <v>18.527999999999999</v>
      </c>
    </row>
    <row r="78" spans="1:11" ht="26.4" x14ac:dyDescent="0.25">
      <c r="A78" s="281" t="s">
        <v>561</v>
      </c>
      <c r="B78" s="282" t="s">
        <v>10</v>
      </c>
      <c r="C78" s="282" t="s">
        <v>562</v>
      </c>
      <c r="D78" s="282" t="s">
        <v>33</v>
      </c>
      <c r="E78" s="283" t="s">
        <v>563</v>
      </c>
      <c r="F78" s="281" t="s">
        <v>564</v>
      </c>
      <c r="G78" s="281" t="s">
        <v>565</v>
      </c>
      <c r="H78" s="238">
        <f>TRUNC(G78*(1-(SINTÉTICA!$I$56)),2)</f>
        <v>15.98</v>
      </c>
      <c r="I78" s="109">
        <f t="shared" si="3"/>
        <v>4.8264307074024151E-5</v>
      </c>
      <c r="K78" s="236">
        <f t="shared" si="4"/>
        <v>15.628439999999999</v>
      </c>
    </row>
    <row r="79" spans="1:11" ht="26.4" x14ac:dyDescent="0.25">
      <c r="A79" s="281" t="s">
        <v>566</v>
      </c>
      <c r="B79" s="282" t="s">
        <v>10</v>
      </c>
      <c r="C79" s="282" t="s">
        <v>567</v>
      </c>
      <c r="D79" s="282" t="s">
        <v>43</v>
      </c>
      <c r="E79" s="283" t="s">
        <v>14</v>
      </c>
      <c r="F79" s="281" t="s">
        <v>568</v>
      </c>
      <c r="G79" s="281" t="s">
        <v>569</v>
      </c>
      <c r="H79" s="238">
        <f>TRUNC(G79*(1-(SINTÉTICA!$I$56)),2)</f>
        <v>20482.54</v>
      </c>
      <c r="I79" s="109">
        <f t="shared" si="3"/>
        <v>4.5878787827617613E-5</v>
      </c>
      <c r="K79" s="236">
        <f t="shared" si="4"/>
        <v>14.855986262</v>
      </c>
    </row>
    <row r="80" spans="1:11" x14ac:dyDescent="0.25">
      <c r="A80" s="281" t="s">
        <v>267</v>
      </c>
      <c r="B80" s="282" t="s">
        <v>10</v>
      </c>
      <c r="C80" s="282" t="s">
        <v>268</v>
      </c>
      <c r="D80" s="282" t="s">
        <v>56</v>
      </c>
      <c r="E80" s="283" t="s">
        <v>28</v>
      </c>
      <c r="F80" s="281" t="s">
        <v>570</v>
      </c>
      <c r="G80" s="281" t="s">
        <v>571</v>
      </c>
      <c r="H80" s="238">
        <f>TRUNC(G80*(1-(SINTÉTICA!$I$56)),2)</f>
        <v>12.41</v>
      </c>
      <c r="I80" s="109">
        <f t="shared" si="3"/>
        <v>4.5491842987668421E-5</v>
      </c>
      <c r="K80" s="236">
        <f t="shared" si="4"/>
        <v>14.730689856000001</v>
      </c>
    </row>
    <row r="81" spans="1:11" x14ac:dyDescent="0.25">
      <c r="A81" s="281" t="s">
        <v>572</v>
      </c>
      <c r="B81" s="282" t="s">
        <v>269</v>
      </c>
      <c r="C81" s="282" t="s">
        <v>573</v>
      </c>
      <c r="D81" s="282" t="s">
        <v>33</v>
      </c>
      <c r="E81" s="283" t="s">
        <v>270</v>
      </c>
      <c r="F81" s="281" t="s">
        <v>574</v>
      </c>
      <c r="G81" s="281" t="s">
        <v>575</v>
      </c>
      <c r="H81" s="238">
        <f>TRUNC(G81*(1-(SINTÉTICA!$I$56)),2)</f>
        <v>13.21</v>
      </c>
      <c r="I81" s="109">
        <f t="shared" si="3"/>
        <v>4.283537392537272E-5</v>
      </c>
      <c r="K81" s="236">
        <f t="shared" si="4"/>
        <v>13.870500000000002</v>
      </c>
    </row>
    <row r="82" spans="1:11" x14ac:dyDescent="0.25">
      <c r="A82" s="281" t="s">
        <v>576</v>
      </c>
      <c r="B82" s="282" t="s">
        <v>10</v>
      </c>
      <c r="C82" s="282" t="s">
        <v>577</v>
      </c>
      <c r="D82" s="282" t="s">
        <v>56</v>
      </c>
      <c r="E82" s="283" t="s">
        <v>28</v>
      </c>
      <c r="F82" s="281" t="s">
        <v>578</v>
      </c>
      <c r="G82" s="281" t="s">
        <v>579</v>
      </c>
      <c r="H82" s="238">
        <f>TRUNC(G82*(1-(SINTÉTICA!$I$56)),2)</f>
        <v>12.88</v>
      </c>
      <c r="I82" s="109">
        <f t="shared" si="3"/>
        <v>4.1899243545812613E-5</v>
      </c>
      <c r="K82" s="236">
        <f t="shared" si="4"/>
        <v>13.567372112000001</v>
      </c>
    </row>
    <row r="83" spans="1:11" ht="26.4" x14ac:dyDescent="0.25">
      <c r="A83" s="281" t="s">
        <v>124</v>
      </c>
      <c r="B83" s="282" t="s">
        <v>10</v>
      </c>
      <c r="C83" s="282" t="s">
        <v>61</v>
      </c>
      <c r="D83" s="282" t="s">
        <v>43</v>
      </c>
      <c r="E83" s="283" t="s">
        <v>28</v>
      </c>
      <c r="F83" s="281" t="s">
        <v>580</v>
      </c>
      <c r="G83" s="281" t="s">
        <v>338</v>
      </c>
      <c r="H83" s="238">
        <f>TRUNC(G83*(1-(SINTÉTICA!$I$56)),2)</f>
        <v>1.01</v>
      </c>
      <c r="I83" s="109">
        <f t="shared" si="3"/>
        <v>3.4775337198143361E-5</v>
      </c>
      <c r="K83" s="236">
        <f t="shared" si="4"/>
        <v>11.260583728</v>
      </c>
    </row>
    <row r="84" spans="1:11" ht="26.4" x14ac:dyDescent="0.25">
      <c r="A84" s="281" t="s">
        <v>38</v>
      </c>
      <c r="B84" s="282" t="s">
        <v>10</v>
      </c>
      <c r="C84" s="282" t="s">
        <v>581</v>
      </c>
      <c r="D84" s="282" t="s">
        <v>33</v>
      </c>
      <c r="E84" s="283" t="s">
        <v>16</v>
      </c>
      <c r="F84" s="281" t="s">
        <v>457</v>
      </c>
      <c r="G84" s="281" t="s">
        <v>582</v>
      </c>
      <c r="H84" s="238">
        <f>TRUNC(G84*(1-(SINTÉTICA!$I$56)),2)</f>
        <v>6.5</v>
      </c>
      <c r="I84" s="109">
        <f t="shared" si="3"/>
        <v>3.2117651766257614E-5</v>
      </c>
      <c r="K84" s="236">
        <f t="shared" si="4"/>
        <v>10.4</v>
      </c>
    </row>
    <row r="85" spans="1:11" ht="39.6" x14ac:dyDescent="0.25">
      <c r="A85" s="281" t="s">
        <v>583</v>
      </c>
      <c r="B85" s="282" t="s">
        <v>10</v>
      </c>
      <c r="C85" s="282" t="s">
        <v>584</v>
      </c>
      <c r="D85" s="282" t="s">
        <v>43</v>
      </c>
      <c r="E85" s="283" t="s">
        <v>37</v>
      </c>
      <c r="F85" s="281" t="s">
        <v>445</v>
      </c>
      <c r="G85" s="281" t="s">
        <v>585</v>
      </c>
      <c r="H85" s="238">
        <f>TRUNC(G85*(1-(SINTÉTICA!$I$56)),2)</f>
        <v>2.59</v>
      </c>
      <c r="I85" s="109">
        <f t="shared" si="3"/>
        <v>3.1994122336387391E-5</v>
      </c>
      <c r="K85" s="236">
        <f t="shared" si="4"/>
        <v>10.36</v>
      </c>
    </row>
    <row r="86" spans="1:11" ht="26.4" x14ac:dyDescent="0.25">
      <c r="A86" s="281" t="s">
        <v>586</v>
      </c>
      <c r="B86" s="282" t="s">
        <v>10</v>
      </c>
      <c r="C86" s="282" t="s">
        <v>587</v>
      </c>
      <c r="D86" s="282" t="s">
        <v>43</v>
      </c>
      <c r="E86" s="283" t="s">
        <v>28</v>
      </c>
      <c r="F86" s="281" t="s">
        <v>588</v>
      </c>
      <c r="G86" s="281" t="s">
        <v>589</v>
      </c>
      <c r="H86" s="238">
        <f>TRUNC(G86*(1-(SINTÉTICA!$I$56)),2)</f>
        <v>0.52</v>
      </c>
      <c r="I86" s="109">
        <f t="shared" si="3"/>
        <v>2.8905886589631851E-5</v>
      </c>
      <c r="K86" s="236">
        <f t="shared" si="4"/>
        <v>9.36</v>
      </c>
    </row>
    <row r="87" spans="1:11" x14ac:dyDescent="0.25">
      <c r="A87" s="281" t="s">
        <v>291</v>
      </c>
      <c r="B87" s="282" t="s">
        <v>10</v>
      </c>
      <c r="C87" s="282" t="s">
        <v>292</v>
      </c>
      <c r="D87" s="282" t="s">
        <v>33</v>
      </c>
      <c r="E87" s="283" t="s">
        <v>14</v>
      </c>
      <c r="F87" s="281" t="s">
        <v>590</v>
      </c>
      <c r="G87" s="281" t="s">
        <v>591</v>
      </c>
      <c r="H87" s="238">
        <f>TRUNC(G87*(1-(SINTÉTICA!$I$56)),2)</f>
        <v>0.13</v>
      </c>
      <c r="I87" s="109">
        <f t="shared" si="3"/>
        <v>2.8905886589631851E-5</v>
      </c>
      <c r="K87" s="236">
        <f t="shared" si="4"/>
        <v>9.36</v>
      </c>
    </row>
    <row r="88" spans="1:11" x14ac:dyDescent="0.25">
      <c r="A88" s="281" t="s">
        <v>293</v>
      </c>
      <c r="B88" s="282" t="s">
        <v>269</v>
      </c>
      <c r="C88" s="282" t="s">
        <v>592</v>
      </c>
      <c r="D88" s="282" t="s">
        <v>33</v>
      </c>
      <c r="E88" s="283" t="s">
        <v>270</v>
      </c>
      <c r="F88" s="281" t="s">
        <v>590</v>
      </c>
      <c r="G88" s="281" t="s">
        <v>357</v>
      </c>
      <c r="H88" s="238">
        <f>TRUNC(G88*(1-(SINTÉTICA!$I$56)),2)</f>
        <v>0.12</v>
      </c>
      <c r="I88" s="109">
        <f t="shared" si="3"/>
        <v>2.6682356851967866E-5</v>
      </c>
      <c r="K88" s="236">
        <f t="shared" si="4"/>
        <v>8.64</v>
      </c>
    </row>
    <row r="89" spans="1:11" ht="26.4" x14ac:dyDescent="0.25">
      <c r="A89" s="281" t="s">
        <v>285</v>
      </c>
      <c r="B89" s="282" t="s">
        <v>10</v>
      </c>
      <c r="C89" s="282" t="s">
        <v>286</v>
      </c>
      <c r="D89" s="282" t="s">
        <v>33</v>
      </c>
      <c r="E89" s="283" t="s">
        <v>14</v>
      </c>
      <c r="F89" s="281" t="s">
        <v>593</v>
      </c>
      <c r="G89" s="281" t="s">
        <v>594</v>
      </c>
      <c r="H89" s="238">
        <f>TRUNC(G89*(1-(SINTÉTICA!$I$56)),2)</f>
        <v>3.6</v>
      </c>
      <c r="I89" s="109">
        <f t="shared" si="3"/>
        <v>2.429206238397908E-5</v>
      </c>
      <c r="K89" s="236">
        <f t="shared" si="4"/>
        <v>7.8660000000000005</v>
      </c>
    </row>
    <row r="90" spans="1:11" ht="26.4" x14ac:dyDescent="0.25">
      <c r="A90" s="281" t="s">
        <v>271</v>
      </c>
      <c r="B90" s="282" t="s">
        <v>10</v>
      </c>
      <c r="C90" s="282" t="s">
        <v>272</v>
      </c>
      <c r="D90" s="282" t="s">
        <v>33</v>
      </c>
      <c r="E90" s="283" t="s">
        <v>16</v>
      </c>
      <c r="F90" s="281" t="s">
        <v>595</v>
      </c>
      <c r="G90" s="281" t="s">
        <v>596</v>
      </c>
      <c r="H90" s="238">
        <f>TRUNC(G90*(1-(SINTÉTICA!$I$56)),2)</f>
        <v>2.35</v>
      </c>
      <c r="I90" s="109">
        <f t="shared" si="3"/>
        <v>2.1772062014626559E-5</v>
      </c>
    </row>
    <row r="91" spans="1:11" ht="26.4" x14ac:dyDescent="0.25">
      <c r="A91" s="281" t="s">
        <v>276</v>
      </c>
      <c r="B91" s="282" t="s">
        <v>10</v>
      </c>
      <c r="C91" s="282" t="s">
        <v>277</v>
      </c>
      <c r="D91" s="282" t="s">
        <v>43</v>
      </c>
      <c r="E91" s="283" t="s">
        <v>28</v>
      </c>
      <c r="F91" s="281" t="s">
        <v>597</v>
      </c>
      <c r="G91" s="281" t="s">
        <v>350</v>
      </c>
      <c r="H91" s="238">
        <f>TRUNC(G91*(1-(SINTÉTICA!$I$56)),2)</f>
        <v>0.8</v>
      </c>
      <c r="I91" s="109">
        <f t="shared" si="3"/>
        <v>2.144470902547047E-5</v>
      </c>
      <c r="K91" s="236">
        <f t="shared" si="4"/>
        <v>6.944</v>
      </c>
    </row>
    <row r="92" spans="1:11" ht="26.4" x14ac:dyDescent="0.25">
      <c r="A92" s="281" t="s">
        <v>598</v>
      </c>
      <c r="B92" s="282" t="s">
        <v>10</v>
      </c>
      <c r="C92" s="282" t="s">
        <v>599</v>
      </c>
      <c r="D92" s="282" t="s">
        <v>33</v>
      </c>
      <c r="E92" s="283" t="s">
        <v>14</v>
      </c>
      <c r="F92" s="281" t="s">
        <v>600</v>
      </c>
      <c r="G92" s="281" t="s">
        <v>601</v>
      </c>
      <c r="H92" s="238">
        <f>TRUNC(G92*(1-(SINTÉTICA!$I$56)),2)</f>
        <v>0.89</v>
      </c>
      <c r="I92" s="109">
        <f t="shared" si="3"/>
        <v>1.6491178887674583E-5</v>
      </c>
      <c r="K92" s="236">
        <f t="shared" si="4"/>
        <v>5.34</v>
      </c>
    </row>
    <row r="93" spans="1:11" ht="26.4" x14ac:dyDescent="0.25">
      <c r="A93" s="281" t="s">
        <v>602</v>
      </c>
      <c r="B93" s="282" t="s">
        <v>10</v>
      </c>
      <c r="C93" s="282" t="s">
        <v>603</v>
      </c>
      <c r="D93" s="282" t="s">
        <v>33</v>
      </c>
      <c r="E93" s="283" t="s">
        <v>14</v>
      </c>
      <c r="F93" s="281" t="s">
        <v>595</v>
      </c>
      <c r="G93" s="281" t="s">
        <v>604</v>
      </c>
      <c r="H93" s="238">
        <f>TRUNC(G93*(1-(SINTÉTICA!$I$56)),2)</f>
        <v>1.76</v>
      </c>
      <c r="I93" s="109">
        <f t="shared" si="3"/>
        <v>1.6305884742869252E-5</v>
      </c>
      <c r="K93" s="236">
        <f t="shared" si="4"/>
        <v>5.28</v>
      </c>
    </row>
    <row r="94" spans="1:11" x14ac:dyDescent="0.25">
      <c r="A94" s="281" t="s">
        <v>605</v>
      </c>
      <c r="B94" s="282" t="s">
        <v>10</v>
      </c>
      <c r="C94" s="282" t="s">
        <v>606</v>
      </c>
      <c r="D94" s="282" t="s">
        <v>33</v>
      </c>
      <c r="E94" s="283" t="s">
        <v>55</v>
      </c>
      <c r="F94" s="281" t="s">
        <v>607</v>
      </c>
      <c r="G94" s="281" t="s">
        <v>608</v>
      </c>
      <c r="H94" s="238">
        <f>TRUNC(G94*(1-(SINTÉTICA!$I$56)),2)</f>
        <v>8.06</v>
      </c>
      <c r="I94" s="109">
        <f t="shared" si="3"/>
        <v>1.5930355276063778E-5</v>
      </c>
      <c r="K94" s="236">
        <f t="shared" si="4"/>
        <v>5.1584000000000003</v>
      </c>
    </row>
    <row r="95" spans="1:11" ht="26.4" x14ac:dyDescent="0.25">
      <c r="A95" s="281" t="s">
        <v>122</v>
      </c>
      <c r="B95" s="282" t="s">
        <v>10</v>
      </c>
      <c r="C95" s="282" t="s">
        <v>63</v>
      </c>
      <c r="D95" s="282" t="s">
        <v>43</v>
      </c>
      <c r="E95" s="283" t="s">
        <v>28</v>
      </c>
      <c r="F95" s="281" t="s">
        <v>609</v>
      </c>
      <c r="G95" s="281" t="s">
        <v>355</v>
      </c>
      <c r="H95" s="238">
        <f>TRUNC(G95*(1-(SINTÉTICA!$I$56)),2)</f>
        <v>1.33</v>
      </c>
      <c r="I95" s="109">
        <f t="shared" si="3"/>
        <v>1.5887243505039072E-5</v>
      </c>
      <c r="K95" s="236">
        <f t="shared" si="4"/>
        <v>5.1444400000000003</v>
      </c>
    </row>
    <row r="96" spans="1:11" ht="26.4" x14ac:dyDescent="0.25">
      <c r="A96" s="281" t="s">
        <v>101</v>
      </c>
      <c r="B96" s="282" t="s">
        <v>10</v>
      </c>
      <c r="C96" s="282" t="s">
        <v>65</v>
      </c>
      <c r="D96" s="282" t="s">
        <v>43</v>
      </c>
      <c r="E96" s="283" t="s">
        <v>28</v>
      </c>
      <c r="F96" s="281" t="s">
        <v>610</v>
      </c>
      <c r="G96" s="281" t="s">
        <v>339</v>
      </c>
      <c r="H96" s="238">
        <f>TRUNC(G96*(1-(SINTÉTICA!$I$56)),2)</f>
        <v>0.95</v>
      </c>
      <c r="I96" s="109">
        <f t="shared" si="3"/>
        <v>1.5842649380855921E-5</v>
      </c>
      <c r="K96" s="236">
        <f t="shared" si="4"/>
        <v>5.13</v>
      </c>
    </row>
    <row r="97" spans="1:11" ht="26.4" x14ac:dyDescent="0.25">
      <c r="A97" s="281" t="s">
        <v>123</v>
      </c>
      <c r="B97" s="282" t="s">
        <v>10</v>
      </c>
      <c r="C97" s="282" t="s">
        <v>64</v>
      </c>
      <c r="D97" s="282" t="s">
        <v>43</v>
      </c>
      <c r="E97" s="283" t="s">
        <v>28</v>
      </c>
      <c r="F97" s="281" t="s">
        <v>609</v>
      </c>
      <c r="G97" s="281" t="s">
        <v>356</v>
      </c>
      <c r="H97" s="238">
        <f>TRUNC(G97*(1-(SINTÉTICA!$I$56)),2)</f>
        <v>1.27</v>
      </c>
      <c r="I97" s="109">
        <f t="shared" si="3"/>
        <v>1.5170525752932042E-5</v>
      </c>
      <c r="K97" s="236">
        <f t="shared" si="4"/>
        <v>4.9123599999999996</v>
      </c>
    </row>
    <row r="98" spans="1:11" ht="26.4" x14ac:dyDescent="0.25">
      <c r="A98" s="281" t="s">
        <v>125</v>
      </c>
      <c r="B98" s="282" t="s">
        <v>10</v>
      </c>
      <c r="C98" s="282" t="s">
        <v>66</v>
      </c>
      <c r="D98" s="282" t="s">
        <v>43</v>
      </c>
      <c r="E98" s="283" t="s">
        <v>28</v>
      </c>
      <c r="F98" s="281" t="s">
        <v>580</v>
      </c>
      <c r="G98" s="281" t="s">
        <v>345</v>
      </c>
      <c r="H98" s="238">
        <f>TRUNC(G98*(1-(SINTÉTICA!$I$56)),2)</f>
        <v>0.41</v>
      </c>
      <c r="I98" s="109">
        <f t="shared" si="3"/>
        <v>1.4116721040830472E-5</v>
      </c>
      <c r="K98" s="236">
        <f t="shared" si="4"/>
        <v>4.5711280479999994</v>
      </c>
    </row>
    <row r="99" spans="1:11" ht="26.4" x14ac:dyDescent="0.25">
      <c r="A99" s="281" t="s">
        <v>611</v>
      </c>
      <c r="B99" s="282" t="s">
        <v>10</v>
      </c>
      <c r="C99" s="282" t="s">
        <v>612</v>
      </c>
      <c r="D99" s="282" t="s">
        <v>33</v>
      </c>
      <c r="E99" s="283" t="s">
        <v>14</v>
      </c>
      <c r="F99" s="281" t="s">
        <v>590</v>
      </c>
      <c r="G99" s="281" t="s">
        <v>511</v>
      </c>
      <c r="H99" s="238">
        <f>TRUNC(G99*(1-(SINTÉTICA!$I$56)),2)</f>
        <v>0.06</v>
      </c>
      <c r="I99" s="109">
        <f t="shared" si="3"/>
        <v>1.3341178425983933E-5</v>
      </c>
      <c r="K99" s="236">
        <f t="shared" si="4"/>
        <v>4.32</v>
      </c>
    </row>
    <row r="100" spans="1:11" x14ac:dyDescent="0.25">
      <c r="A100" s="281" t="s">
        <v>35</v>
      </c>
      <c r="B100" s="282" t="s">
        <v>10</v>
      </c>
      <c r="C100" s="282" t="s">
        <v>36</v>
      </c>
      <c r="D100" s="282" t="s">
        <v>33</v>
      </c>
      <c r="E100" s="283" t="s">
        <v>37</v>
      </c>
      <c r="F100" s="281" t="s">
        <v>613</v>
      </c>
      <c r="G100" s="281" t="s">
        <v>614</v>
      </c>
      <c r="H100" s="238">
        <f>TRUNC(G100*(1-(SINTÉTICA!$I$56)),2)</f>
        <v>20.239999999999998</v>
      </c>
      <c r="I100" s="109">
        <f t="shared" si="3"/>
        <v>1.1001036906522453E-5</v>
      </c>
      <c r="K100" s="236">
        <f t="shared" si="4"/>
        <v>3.5622399999999996</v>
      </c>
    </row>
    <row r="101" spans="1:11" ht="26.4" x14ac:dyDescent="0.25">
      <c r="A101" s="281" t="s">
        <v>102</v>
      </c>
      <c r="B101" s="282" t="s">
        <v>10</v>
      </c>
      <c r="C101" s="282" t="s">
        <v>68</v>
      </c>
      <c r="D101" s="282" t="s">
        <v>43</v>
      </c>
      <c r="E101" s="283" t="s">
        <v>28</v>
      </c>
      <c r="F101" s="281" t="s">
        <v>610</v>
      </c>
      <c r="G101" s="281" t="s">
        <v>344</v>
      </c>
      <c r="H101" s="238">
        <f>TRUNC(G101*(1-(SINTÉTICA!$I$56)),2)</f>
        <v>0.57999999999999996</v>
      </c>
      <c r="I101" s="109">
        <f t="shared" si="3"/>
        <v>9.6723543588383506E-6</v>
      </c>
      <c r="K101" s="236">
        <f t="shared" si="4"/>
        <v>3.1320000000000001</v>
      </c>
    </row>
    <row r="102" spans="1:11" ht="26.4" x14ac:dyDescent="0.25">
      <c r="A102" s="281" t="s">
        <v>281</v>
      </c>
      <c r="B102" s="282" t="s">
        <v>10</v>
      </c>
      <c r="C102" s="282" t="s">
        <v>282</v>
      </c>
      <c r="D102" s="282" t="s">
        <v>43</v>
      </c>
      <c r="E102" s="283" t="s">
        <v>28</v>
      </c>
      <c r="F102" s="281" t="s">
        <v>597</v>
      </c>
      <c r="G102" s="281" t="s">
        <v>352</v>
      </c>
      <c r="H102" s="238">
        <f>TRUNC(G102*(1-(SINTÉTICA!$I$56)),2)</f>
        <v>0.28000000000000003</v>
      </c>
      <c r="I102" s="109">
        <f t="shared" si="3"/>
        <v>7.5056481589146645E-6</v>
      </c>
      <c r="K102" s="236">
        <f t="shared" si="4"/>
        <v>2.4304000000000001</v>
      </c>
    </row>
    <row r="103" spans="1:11" ht="26.4" x14ac:dyDescent="0.25">
      <c r="A103" s="281" t="s">
        <v>296</v>
      </c>
      <c r="B103" s="282" t="s">
        <v>10</v>
      </c>
      <c r="C103" s="282" t="s">
        <v>297</v>
      </c>
      <c r="D103" s="282" t="s">
        <v>43</v>
      </c>
      <c r="E103" s="283" t="s">
        <v>28</v>
      </c>
      <c r="F103" s="281" t="s">
        <v>493</v>
      </c>
      <c r="G103" s="281" t="s">
        <v>354</v>
      </c>
      <c r="H103" s="238">
        <f>TRUNC(G103*(1-(SINTÉTICA!$I$56)),2)</f>
        <v>0.01</v>
      </c>
      <c r="I103" s="109">
        <f t="shared" si="3"/>
        <v>7.3129422483171197E-6</v>
      </c>
      <c r="K103" s="236">
        <f t="shared" si="4"/>
        <v>2.3680000000000003</v>
      </c>
    </row>
    <row r="104" spans="1:11" x14ac:dyDescent="0.25">
      <c r="A104" s="281" t="s">
        <v>98</v>
      </c>
      <c r="B104" s="282" t="s">
        <v>10</v>
      </c>
      <c r="C104" s="282" t="s">
        <v>60</v>
      </c>
      <c r="D104" s="282" t="s">
        <v>33</v>
      </c>
      <c r="E104" s="283" t="s">
        <v>37</v>
      </c>
      <c r="F104" s="281" t="s">
        <v>615</v>
      </c>
      <c r="G104" s="281" t="s">
        <v>616</v>
      </c>
      <c r="H104" s="238">
        <f>TRUNC(G104*(1-(SINTÉTICA!$I$56)),2)</f>
        <v>0.54</v>
      </c>
      <c r="I104" s="109">
        <f t="shared" si="3"/>
        <v>5.6571772903401161E-6</v>
      </c>
      <c r="K104" s="236">
        <f t="shared" si="4"/>
        <v>1.8318476160000001</v>
      </c>
    </row>
    <row r="105" spans="1:11" ht="26.4" x14ac:dyDescent="0.25">
      <c r="A105" s="281" t="s">
        <v>91</v>
      </c>
      <c r="B105" s="282" t="s">
        <v>10</v>
      </c>
      <c r="C105" s="282" t="s">
        <v>69</v>
      </c>
      <c r="D105" s="282" t="s">
        <v>43</v>
      </c>
      <c r="E105" s="283" t="s">
        <v>28</v>
      </c>
      <c r="F105" s="281" t="s">
        <v>457</v>
      </c>
      <c r="G105" s="281" t="s">
        <v>346</v>
      </c>
      <c r="H105" s="238">
        <f>TRUNC(G105*(1-(SINTÉTICA!$I$56)),2)</f>
        <v>1.05</v>
      </c>
      <c r="I105" s="109">
        <f t="shared" si="3"/>
        <v>5.1882360545493079E-6</v>
      </c>
      <c r="K105" s="236">
        <f t="shared" si="4"/>
        <v>1.6800000000000002</v>
      </c>
    </row>
    <row r="106" spans="1:11" ht="26.4" x14ac:dyDescent="0.25">
      <c r="A106" s="281" t="s">
        <v>111</v>
      </c>
      <c r="B106" s="282" t="s">
        <v>10</v>
      </c>
      <c r="C106" s="282" t="s">
        <v>617</v>
      </c>
      <c r="D106" s="282" t="s">
        <v>33</v>
      </c>
      <c r="E106" s="283" t="s">
        <v>18</v>
      </c>
      <c r="F106" s="281" t="s">
        <v>618</v>
      </c>
      <c r="G106" s="281" t="s">
        <v>619</v>
      </c>
      <c r="H106" s="238">
        <f>TRUNC(G106*(1-(SINTÉTICA!$I$56)),2)</f>
        <v>127.69</v>
      </c>
      <c r="I106" s="109">
        <f t="shared" si="3"/>
        <v>3.6480888123417417E-6</v>
      </c>
      <c r="K106" s="236">
        <f t="shared" si="4"/>
        <v>1.181285728</v>
      </c>
    </row>
    <row r="107" spans="1:11" ht="26.4" x14ac:dyDescent="0.25">
      <c r="A107" s="281" t="s">
        <v>97</v>
      </c>
      <c r="B107" s="282" t="s">
        <v>10</v>
      </c>
      <c r="C107" s="282" t="s">
        <v>62</v>
      </c>
      <c r="D107" s="282" t="s">
        <v>33</v>
      </c>
      <c r="E107" s="283" t="s">
        <v>18</v>
      </c>
      <c r="F107" s="281" t="s">
        <v>620</v>
      </c>
      <c r="G107" s="281" t="s">
        <v>621</v>
      </c>
      <c r="H107" s="238">
        <f>TRUNC(G107*(1-(SINTÉTICA!$I$56)),2)</f>
        <v>87.5</v>
      </c>
      <c r="I107" s="109">
        <f t="shared" ref="I107:I114" si="5">F107*H107/(SUM($K:$K))</f>
        <v>3.575126994589018E-6</v>
      </c>
      <c r="K107" s="236">
        <f t="shared" si="4"/>
        <v>1.1576599999999999</v>
      </c>
    </row>
    <row r="108" spans="1:11" ht="26.4" x14ac:dyDescent="0.25">
      <c r="A108" s="281" t="s">
        <v>622</v>
      </c>
      <c r="B108" s="282" t="s">
        <v>10</v>
      </c>
      <c r="C108" s="282" t="s">
        <v>623</v>
      </c>
      <c r="D108" s="282" t="s">
        <v>43</v>
      </c>
      <c r="E108" s="283" t="s">
        <v>28</v>
      </c>
      <c r="F108" s="281" t="s">
        <v>588</v>
      </c>
      <c r="G108" s="281" t="s">
        <v>511</v>
      </c>
      <c r="H108" s="238">
        <f>TRUNC(G108*(1-(SINTÉTICA!$I$56)),2)</f>
        <v>0.06</v>
      </c>
      <c r="I108" s="109">
        <f t="shared" si="5"/>
        <v>3.3352946064959833E-6</v>
      </c>
      <c r="K108" s="236">
        <f t="shared" si="4"/>
        <v>1.08</v>
      </c>
    </row>
    <row r="109" spans="1:11" ht="26.4" x14ac:dyDescent="0.25">
      <c r="A109" s="281" t="s">
        <v>93</v>
      </c>
      <c r="B109" s="282" t="s">
        <v>10</v>
      </c>
      <c r="C109" s="282" t="s">
        <v>70</v>
      </c>
      <c r="D109" s="282" t="s">
        <v>43</v>
      </c>
      <c r="E109" s="283" t="s">
        <v>28</v>
      </c>
      <c r="F109" s="281" t="s">
        <v>457</v>
      </c>
      <c r="G109" s="281" t="s">
        <v>348</v>
      </c>
      <c r="H109" s="238">
        <f>TRUNC(G109*(1-(SINTÉTICA!$I$56)),2)</f>
        <v>0.38</v>
      </c>
      <c r="I109" s="109">
        <f t="shared" si="5"/>
        <v>1.8776473340273685E-6</v>
      </c>
      <c r="K109" s="236">
        <f t="shared" si="4"/>
        <v>0.6080000000000001</v>
      </c>
    </row>
    <row r="110" spans="1:11" ht="26.4" x14ac:dyDescent="0.25">
      <c r="A110" s="281" t="s">
        <v>121</v>
      </c>
      <c r="B110" s="282" t="s">
        <v>10</v>
      </c>
      <c r="C110" s="282" t="s">
        <v>75</v>
      </c>
      <c r="D110" s="282" t="s">
        <v>43</v>
      </c>
      <c r="E110" s="283" t="s">
        <v>28</v>
      </c>
      <c r="F110" s="281" t="s">
        <v>548</v>
      </c>
      <c r="G110" s="281" t="s">
        <v>354</v>
      </c>
      <c r="H110" s="238">
        <f>TRUNC(G110*(1-(SINTÉTICA!$I$56)),2)</f>
        <v>0.01</v>
      </c>
      <c r="I110" s="109">
        <f t="shared" si="5"/>
        <v>1.2530979036646039E-6</v>
      </c>
      <c r="K110" s="236">
        <f t="shared" si="4"/>
        <v>0.40576497600000005</v>
      </c>
    </row>
    <row r="111" spans="1:11" x14ac:dyDescent="0.25">
      <c r="A111" s="281" t="s">
        <v>113</v>
      </c>
      <c r="B111" s="282" t="s">
        <v>10</v>
      </c>
      <c r="C111" s="282" t="s">
        <v>624</v>
      </c>
      <c r="D111" s="282" t="s">
        <v>56</v>
      </c>
      <c r="E111" s="283" t="s">
        <v>28</v>
      </c>
      <c r="F111" s="281" t="s">
        <v>625</v>
      </c>
      <c r="G111" s="281" t="s">
        <v>626</v>
      </c>
      <c r="H111" s="238">
        <f>TRUNC(G111*(1-(SINTÉTICA!$I$56)),2)</f>
        <v>12.52</v>
      </c>
      <c r="I111" s="109">
        <f t="shared" si="5"/>
        <v>9.2166619508717566E-7</v>
      </c>
      <c r="K111" s="236">
        <f t="shared" si="4"/>
        <v>0.29844424800000002</v>
      </c>
    </row>
    <row r="112" spans="1:11" ht="26.4" x14ac:dyDescent="0.25">
      <c r="A112" s="281" t="s">
        <v>627</v>
      </c>
      <c r="B112" s="282" t="s">
        <v>10</v>
      </c>
      <c r="C112" s="282" t="s">
        <v>628</v>
      </c>
      <c r="D112" s="282" t="s">
        <v>33</v>
      </c>
      <c r="E112" s="283" t="s">
        <v>14</v>
      </c>
      <c r="F112" s="281" t="s">
        <v>629</v>
      </c>
      <c r="G112" s="281" t="s">
        <v>630</v>
      </c>
      <c r="H112" s="238">
        <f>TRUNC(G112*(1-(SINTÉTICA!$I$56)),2)</f>
        <v>0.7</v>
      </c>
      <c r="I112" s="109">
        <f t="shared" si="5"/>
        <v>8.6470600909155107E-7</v>
      </c>
      <c r="K112" s="236">
        <f t="shared" si="4"/>
        <v>0.27999999999999997</v>
      </c>
    </row>
    <row r="113" spans="1:11" ht="39.6" x14ac:dyDescent="0.25">
      <c r="A113" s="281" t="s">
        <v>107</v>
      </c>
      <c r="B113" s="282" t="s">
        <v>10</v>
      </c>
      <c r="C113" s="282" t="s">
        <v>74</v>
      </c>
      <c r="D113" s="282" t="s">
        <v>43</v>
      </c>
      <c r="E113" s="283" t="s">
        <v>14</v>
      </c>
      <c r="F113" s="281" t="s">
        <v>631</v>
      </c>
      <c r="G113" s="281" t="s">
        <v>632</v>
      </c>
      <c r="H113" s="238">
        <f>TRUNC(G113*(1-(SINTÉTICA!$I$56)),2)</f>
        <v>4200</v>
      </c>
      <c r="I113" s="109">
        <f t="shared" si="5"/>
        <v>3.1129416327295841E-8</v>
      </c>
      <c r="K113" s="236">
        <f t="shared" si="4"/>
        <v>1.0079999999999999E-2</v>
      </c>
    </row>
    <row r="114" spans="1:11" x14ac:dyDescent="0.25">
      <c r="A114" s="281" t="s">
        <v>108</v>
      </c>
      <c r="B114" s="282" t="s">
        <v>10</v>
      </c>
      <c r="C114" s="282" t="s">
        <v>72</v>
      </c>
      <c r="D114" s="282" t="s">
        <v>33</v>
      </c>
      <c r="E114" s="283" t="s">
        <v>73</v>
      </c>
      <c r="F114" s="281" t="s">
        <v>633</v>
      </c>
      <c r="G114" s="281" t="s">
        <v>634</v>
      </c>
      <c r="H114" s="238">
        <f>TRUNC(G114*(1-(SINTÉTICA!$I$56)),2)</f>
        <v>0.65</v>
      </c>
      <c r="I114" s="109">
        <f t="shared" si="5"/>
        <v>3.0604107426772725E-8</v>
      </c>
      <c r="K114" s="236">
        <f t="shared" si="4"/>
        <v>9.9098999999999993E-3</v>
      </c>
    </row>
  </sheetData>
  <sheetProtection algorithmName="SHA-512" hashValue="O8NHzC/TbK7NLg/Z4rDq7cZuj6oDbd9DRMiqPYRwWMzt8wviWJIK3FoWxE54eqRcKSE1oyLQIXb2ythnevI9kw==" saltValue="sUz0tiNXhz19PEs6fR5XJA==" spinCount="100000" sheet="1" objects="1" scenarios="1"/>
  <mergeCells count="9">
    <mergeCell ref="A10:I10"/>
    <mergeCell ref="A8:I8"/>
    <mergeCell ref="A6:I6"/>
    <mergeCell ref="A7:I7"/>
    <mergeCell ref="A1:I1"/>
    <mergeCell ref="A2:I2"/>
    <mergeCell ref="A3:I3"/>
    <mergeCell ref="A4:I4"/>
    <mergeCell ref="A5:I5"/>
  </mergeCells>
  <pageMargins left="0.78740157480314965" right="0.78740157480314965" top="0.78740157480314965" bottom="0.78740157480314965" header="0.51181102362204722" footer="0.51181102362204722"/>
  <pageSetup paperSize="9" scale="45" fitToHeight="0" orientation="portrait" r:id="rId1"/>
  <headerFooter>
    <oddHeader xml:space="preserve">&amp;L </oddHeader>
    <oddFooter>&amp;L 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2"/>
  <dimension ref="A1:E27"/>
  <sheetViews>
    <sheetView view="pageBreakPreview" zoomScale="130" zoomScaleNormal="100" zoomScaleSheetLayoutView="130" workbookViewId="0">
      <selection activeCell="B20" sqref="B20"/>
    </sheetView>
  </sheetViews>
  <sheetFormatPr defaultColWidth="7.8984375" defaultRowHeight="13.2" x14ac:dyDescent="0.25"/>
  <cols>
    <col min="1" max="1" width="22.8984375" style="2" customWidth="1"/>
    <col min="2" max="2" width="49.8984375" style="2" customWidth="1"/>
    <col min="3" max="3" width="9.5" style="2" customWidth="1"/>
    <col min="4" max="4" width="15.09765625" style="25" customWidth="1"/>
    <col min="5" max="256" width="7.8984375" style="2"/>
    <col min="257" max="257" width="22.8984375" style="2" customWidth="1"/>
    <col min="258" max="258" width="49.8984375" style="2" customWidth="1"/>
    <col min="259" max="259" width="9.5" style="2" customWidth="1"/>
    <col min="260" max="260" width="15.09765625" style="2" customWidth="1"/>
    <col min="261" max="512" width="7.8984375" style="2"/>
    <col min="513" max="513" width="22.8984375" style="2" customWidth="1"/>
    <col min="514" max="514" width="49.8984375" style="2" customWidth="1"/>
    <col min="515" max="515" width="9.5" style="2" customWidth="1"/>
    <col min="516" max="516" width="15.09765625" style="2" customWidth="1"/>
    <col min="517" max="768" width="7.8984375" style="2"/>
    <col min="769" max="769" width="22.8984375" style="2" customWidth="1"/>
    <col min="770" max="770" width="49.8984375" style="2" customWidth="1"/>
    <col min="771" max="771" width="9.5" style="2" customWidth="1"/>
    <col min="772" max="772" width="15.09765625" style="2" customWidth="1"/>
    <col min="773" max="1024" width="7.8984375" style="2"/>
    <col min="1025" max="1025" width="22.8984375" style="2" customWidth="1"/>
    <col min="1026" max="1026" width="49.8984375" style="2" customWidth="1"/>
    <col min="1027" max="1027" width="9.5" style="2" customWidth="1"/>
    <col min="1028" max="1028" width="15.09765625" style="2" customWidth="1"/>
    <col min="1029" max="1280" width="7.8984375" style="2"/>
    <col min="1281" max="1281" width="22.8984375" style="2" customWidth="1"/>
    <col min="1282" max="1282" width="49.8984375" style="2" customWidth="1"/>
    <col min="1283" max="1283" width="9.5" style="2" customWidth="1"/>
    <col min="1284" max="1284" width="15.09765625" style="2" customWidth="1"/>
    <col min="1285" max="1536" width="7.8984375" style="2"/>
    <col min="1537" max="1537" width="22.8984375" style="2" customWidth="1"/>
    <col min="1538" max="1538" width="49.8984375" style="2" customWidth="1"/>
    <col min="1539" max="1539" width="9.5" style="2" customWidth="1"/>
    <col min="1540" max="1540" width="15.09765625" style="2" customWidth="1"/>
    <col min="1541" max="1792" width="7.8984375" style="2"/>
    <col min="1793" max="1793" width="22.8984375" style="2" customWidth="1"/>
    <col min="1794" max="1794" width="49.8984375" style="2" customWidth="1"/>
    <col min="1795" max="1795" width="9.5" style="2" customWidth="1"/>
    <col min="1796" max="1796" width="15.09765625" style="2" customWidth="1"/>
    <col min="1797" max="2048" width="7.8984375" style="2"/>
    <col min="2049" max="2049" width="22.8984375" style="2" customWidth="1"/>
    <col min="2050" max="2050" width="49.8984375" style="2" customWidth="1"/>
    <col min="2051" max="2051" width="9.5" style="2" customWidth="1"/>
    <col min="2052" max="2052" width="15.09765625" style="2" customWidth="1"/>
    <col min="2053" max="2304" width="7.8984375" style="2"/>
    <col min="2305" max="2305" width="22.8984375" style="2" customWidth="1"/>
    <col min="2306" max="2306" width="49.8984375" style="2" customWidth="1"/>
    <col min="2307" max="2307" width="9.5" style="2" customWidth="1"/>
    <col min="2308" max="2308" width="15.09765625" style="2" customWidth="1"/>
    <col min="2309" max="2560" width="7.8984375" style="2"/>
    <col min="2561" max="2561" width="22.8984375" style="2" customWidth="1"/>
    <col min="2562" max="2562" width="49.8984375" style="2" customWidth="1"/>
    <col min="2563" max="2563" width="9.5" style="2" customWidth="1"/>
    <col min="2564" max="2564" width="15.09765625" style="2" customWidth="1"/>
    <col min="2565" max="2816" width="7.8984375" style="2"/>
    <col min="2817" max="2817" width="22.8984375" style="2" customWidth="1"/>
    <col min="2818" max="2818" width="49.8984375" style="2" customWidth="1"/>
    <col min="2819" max="2819" width="9.5" style="2" customWidth="1"/>
    <col min="2820" max="2820" width="15.09765625" style="2" customWidth="1"/>
    <col min="2821" max="3072" width="7.8984375" style="2"/>
    <col min="3073" max="3073" width="22.8984375" style="2" customWidth="1"/>
    <col min="3074" max="3074" width="49.8984375" style="2" customWidth="1"/>
    <col min="3075" max="3075" width="9.5" style="2" customWidth="1"/>
    <col min="3076" max="3076" width="15.09765625" style="2" customWidth="1"/>
    <col min="3077" max="3328" width="7.8984375" style="2"/>
    <col min="3329" max="3329" width="22.8984375" style="2" customWidth="1"/>
    <col min="3330" max="3330" width="49.8984375" style="2" customWidth="1"/>
    <col min="3331" max="3331" width="9.5" style="2" customWidth="1"/>
    <col min="3332" max="3332" width="15.09765625" style="2" customWidth="1"/>
    <col min="3333" max="3584" width="7.8984375" style="2"/>
    <col min="3585" max="3585" width="22.8984375" style="2" customWidth="1"/>
    <col min="3586" max="3586" width="49.8984375" style="2" customWidth="1"/>
    <col min="3587" max="3587" width="9.5" style="2" customWidth="1"/>
    <col min="3588" max="3588" width="15.09765625" style="2" customWidth="1"/>
    <col min="3589" max="3840" width="7.8984375" style="2"/>
    <col min="3841" max="3841" width="22.8984375" style="2" customWidth="1"/>
    <col min="3842" max="3842" width="49.8984375" style="2" customWidth="1"/>
    <col min="3843" max="3843" width="9.5" style="2" customWidth="1"/>
    <col min="3844" max="3844" width="15.09765625" style="2" customWidth="1"/>
    <col min="3845" max="4096" width="7.8984375" style="2"/>
    <col min="4097" max="4097" width="22.8984375" style="2" customWidth="1"/>
    <col min="4098" max="4098" width="49.8984375" style="2" customWidth="1"/>
    <col min="4099" max="4099" width="9.5" style="2" customWidth="1"/>
    <col min="4100" max="4100" width="15.09765625" style="2" customWidth="1"/>
    <col min="4101" max="4352" width="7.8984375" style="2"/>
    <col min="4353" max="4353" width="22.8984375" style="2" customWidth="1"/>
    <col min="4354" max="4354" width="49.8984375" style="2" customWidth="1"/>
    <col min="4355" max="4355" width="9.5" style="2" customWidth="1"/>
    <col min="4356" max="4356" width="15.09765625" style="2" customWidth="1"/>
    <col min="4357" max="4608" width="7.8984375" style="2"/>
    <col min="4609" max="4609" width="22.8984375" style="2" customWidth="1"/>
    <col min="4610" max="4610" width="49.8984375" style="2" customWidth="1"/>
    <col min="4611" max="4611" width="9.5" style="2" customWidth="1"/>
    <col min="4612" max="4612" width="15.09765625" style="2" customWidth="1"/>
    <col min="4613" max="4864" width="7.8984375" style="2"/>
    <col min="4865" max="4865" width="22.8984375" style="2" customWidth="1"/>
    <col min="4866" max="4866" width="49.8984375" style="2" customWidth="1"/>
    <col min="4867" max="4867" width="9.5" style="2" customWidth="1"/>
    <col min="4868" max="4868" width="15.09765625" style="2" customWidth="1"/>
    <col min="4869" max="5120" width="7.8984375" style="2"/>
    <col min="5121" max="5121" width="22.8984375" style="2" customWidth="1"/>
    <col min="5122" max="5122" width="49.8984375" style="2" customWidth="1"/>
    <col min="5123" max="5123" width="9.5" style="2" customWidth="1"/>
    <col min="5124" max="5124" width="15.09765625" style="2" customWidth="1"/>
    <col min="5125" max="5376" width="7.8984375" style="2"/>
    <col min="5377" max="5377" width="22.8984375" style="2" customWidth="1"/>
    <col min="5378" max="5378" width="49.8984375" style="2" customWidth="1"/>
    <col min="5379" max="5379" width="9.5" style="2" customWidth="1"/>
    <col min="5380" max="5380" width="15.09765625" style="2" customWidth="1"/>
    <col min="5381" max="5632" width="7.8984375" style="2"/>
    <col min="5633" max="5633" width="22.8984375" style="2" customWidth="1"/>
    <col min="5634" max="5634" width="49.8984375" style="2" customWidth="1"/>
    <col min="5635" max="5635" width="9.5" style="2" customWidth="1"/>
    <col min="5636" max="5636" width="15.09765625" style="2" customWidth="1"/>
    <col min="5637" max="5888" width="7.8984375" style="2"/>
    <col min="5889" max="5889" width="22.8984375" style="2" customWidth="1"/>
    <col min="5890" max="5890" width="49.8984375" style="2" customWidth="1"/>
    <col min="5891" max="5891" width="9.5" style="2" customWidth="1"/>
    <col min="5892" max="5892" width="15.09765625" style="2" customWidth="1"/>
    <col min="5893" max="6144" width="7.8984375" style="2"/>
    <col min="6145" max="6145" width="22.8984375" style="2" customWidth="1"/>
    <col min="6146" max="6146" width="49.8984375" style="2" customWidth="1"/>
    <col min="6147" max="6147" width="9.5" style="2" customWidth="1"/>
    <col min="6148" max="6148" width="15.09765625" style="2" customWidth="1"/>
    <col min="6149" max="6400" width="7.8984375" style="2"/>
    <col min="6401" max="6401" width="22.8984375" style="2" customWidth="1"/>
    <col min="6402" max="6402" width="49.8984375" style="2" customWidth="1"/>
    <col min="6403" max="6403" width="9.5" style="2" customWidth="1"/>
    <col min="6404" max="6404" width="15.09765625" style="2" customWidth="1"/>
    <col min="6405" max="6656" width="7.8984375" style="2"/>
    <col min="6657" max="6657" width="22.8984375" style="2" customWidth="1"/>
    <col min="6658" max="6658" width="49.8984375" style="2" customWidth="1"/>
    <col min="6659" max="6659" width="9.5" style="2" customWidth="1"/>
    <col min="6660" max="6660" width="15.09765625" style="2" customWidth="1"/>
    <col min="6661" max="6912" width="7.8984375" style="2"/>
    <col min="6913" max="6913" width="22.8984375" style="2" customWidth="1"/>
    <col min="6914" max="6914" width="49.8984375" style="2" customWidth="1"/>
    <col min="6915" max="6915" width="9.5" style="2" customWidth="1"/>
    <col min="6916" max="6916" width="15.09765625" style="2" customWidth="1"/>
    <col min="6917" max="7168" width="7.8984375" style="2"/>
    <col min="7169" max="7169" width="22.8984375" style="2" customWidth="1"/>
    <col min="7170" max="7170" width="49.8984375" style="2" customWidth="1"/>
    <col min="7171" max="7171" width="9.5" style="2" customWidth="1"/>
    <col min="7172" max="7172" width="15.09765625" style="2" customWidth="1"/>
    <col min="7173" max="7424" width="7.8984375" style="2"/>
    <col min="7425" max="7425" width="22.8984375" style="2" customWidth="1"/>
    <col min="7426" max="7426" width="49.8984375" style="2" customWidth="1"/>
    <col min="7427" max="7427" width="9.5" style="2" customWidth="1"/>
    <col min="7428" max="7428" width="15.09765625" style="2" customWidth="1"/>
    <col min="7429" max="7680" width="7.8984375" style="2"/>
    <col min="7681" max="7681" width="22.8984375" style="2" customWidth="1"/>
    <col min="7682" max="7682" width="49.8984375" style="2" customWidth="1"/>
    <col min="7683" max="7683" width="9.5" style="2" customWidth="1"/>
    <col min="7684" max="7684" width="15.09765625" style="2" customWidth="1"/>
    <col min="7685" max="7936" width="7.8984375" style="2"/>
    <col min="7937" max="7937" width="22.8984375" style="2" customWidth="1"/>
    <col min="7938" max="7938" width="49.8984375" style="2" customWidth="1"/>
    <col min="7939" max="7939" width="9.5" style="2" customWidth="1"/>
    <col min="7940" max="7940" width="15.09765625" style="2" customWidth="1"/>
    <col min="7941" max="8192" width="7.8984375" style="2"/>
    <col min="8193" max="8193" width="22.8984375" style="2" customWidth="1"/>
    <col min="8194" max="8194" width="49.8984375" style="2" customWidth="1"/>
    <col min="8195" max="8195" width="9.5" style="2" customWidth="1"/>
    <col min="8196" max="8196" width="15.09765625" style="2" customWidth="1"/>
    <col min="8197" max="8448" width="7.8984375" style="2"/>
    <col min="8449" max="8449" width="22.8984375" style="2" customWidth="1"/>
    <col min="8450" max="8450" width="49.8984375" style="2" customWidth="1"/>
    <col min="8451" max="8451" width="9.5" style="2" customWidth="1"/>
    <col min="8452" max="8452" width="15.09765625" style="2" customWidth="1"/>
    <col min="8453" max="8704" width="7.8984375" style="2"/>
    <col min="8705" max="8705" width="22.8984375" style="2" customWidth="1"/>
    <col min="8706" max="8706" width="49.8984375" style="2" customWidth="1"/>
    <col min="8707" max="8707" width="9.5" style="2" customWidth="1"/>
    <col min="8708" max="8708" width="15.09765625" style="2" customWidth="1"/>
    <col min="8709" max="8960" width="7.8984375" style="2"/>
    <col min="8961" max="8961" width="22.8984375" style="2" customWidth="1"/>
    <col min="8962" max="8962" width="49.8984375" style="2" customWidth="1"/>
    <col min="8963" max="8963" width="9.5" style="2" customWidth="1"/>
    <col min="8964" max="8964" width="15.09765625" style="2" customWidth="1"/>
    <col min="8965" max="9216" width="7.8984375" style="2"/>
    <col min="9217" max="9217" width="22.8984375" style="2" customWidth="1"/>
    <col min="9218" max="9218" width="49.8984375" style="2" customWidth="1"/>
    <col min="9219" max="9219" width="9.5" style="2" customWidth="1"/>
    <col min="9220" max="9220" width="15.09765625" style="2" customWidth="1"/>
    <col min="9221" max="9472" width="7.8984375" style="2"/>
    <col min="9473" max="9473" width="22.8984375" style="2" customWidth="1"/>
    <col min="9474" max="9474" width="49.8984375" style="2" customWidth="1"/>
    <col min="9475" max="9475" width="9.5" style="2" customWidth="1"/>
    <col min="9476" max="9476" width="15.09765625" style="2" customWidth="1"/>
    <col min="9477" max="9728" width="7.8984375" style="2"/>
    <col min="9729" max="9729" width="22.8984375" style="2" customWidth="1"/>
    <col min="9730" max="9730" width="49.8984375" style="2" customWidth="1"/>
    <col min="9731" max="9731" width="9.5" style="2" customWidth="1"/>
    <col min="9732" max="9732" width="15.09765625" style="2" customWidth="1"/>
    <col min="9733" max="9984" width="7.8984375" style="2"/>
    <col min="9985" max="9985" width="22.8984375" style="2" customWidth="1"/>
    <col min="9986" max="9986" width="49.8984375" style="2" customWidth="1"/>
    <col min="9987" max="9987" width="9.5" style="2" customWidth="1"/>
    <col min="9988" max="9988" width="15.09765625" style="2" customWidth="1"/>
    <col min="9989" max="10240" width="7.8984375" style="2"/>
    <col min="10241" max="10241" width="22.8984375" style="2" customWidth="1"/>
    <col min="10242" max="10242" width="49.8984375" style="2" customWidth="1"/>
    <col min="10243" max="10243" width="9.5" style="2" customWidth="1"/>
    <col min="10244" max="10244" width="15.09765625" style="2" customWidth="1"/>
    <col min="10245" max="10496" width="7.8984375" style="2"/>
    <col min="10497" max="10497" width="22.8984375" style="2" customWidth="1"/>
    <col min="10498" max="10498" width="49.8984375" style="2" customWidth="1"/>
    <col min="10499" max="10499" width="9.5" style="2" customWidth="1"/>
    <col min="10500" max="10500" width="15.09765625" style="2" customWidth="1"/>
    <col min="10501" max="10752" width="7.8984375" style="2"/>
    <col min="10753" max="10753" width="22.8984375" style="2" customWidth="1"/>
    <col min="10754" max="10754" width="49.8984375" style="2" customWidth="1"/>
    <col min="10755" max="10755" width="9.5" style="2" customWidth="1"/>
    <col min="10756" max="10756" width="15.09765625" style="2" customWidth="1"/>
    <col min="10757" max="11008" width="7.8984375" style="2"/>
    <col min="11009" max="11009" width="22.8984375" style="2" customWidth="1"/>
    <col min="11010" max="11010" width="49.8984375" style="2" customWidth="1"/>
    <col min="11011" max="11011" width="9.5" style="2" customWidth="1"/>
    <col min="11012" max="11012" width="15.09765625" style="2" customWidth="1"/>
    <col min="11013" max="11264" width="7.8984375" style="2"/>
    <col min="11265" max="11265" width="22.8984375" style="2" customWidth="1"/>
    <col min="11266" max="11266" width="49.8984375" style="2" customWidth="1"/>
    <col min="11267" max="11267" width="9.5" style="2" customWidth="1"/>
    <col min="11268" max="11268" width="15.09765625" style="2" customWidth="1"/>
    <col min="11269" max="11520" width="7.8984375" style="2"/>
    <col min="11521" max="11521" width="22.8984375" style="2" customWidth="1"/>
    <col min="11522" max="11522" width="49.8984375" style="2" customWidth="1"/>
    <col min="11523" max="11523" width="9.5" style="2" customWidth="1"/>
    <col min="11524" max="11524" width="15.09765625" style="2" customWidth="1"/>
    <col min="11525" max="11776" width="7.8984375" style="2"/>
    <col min="11777" max="11777" width="22.8984375" style="2" customWidth="1"/>
    <col min="11778" max="11778" width="49.8984375" style="2" customWidth="1"/>
    <col min="11779" max="11779" width="9.5" style="2" customWidth="1"/>
    <col min="11780" max="11780" width="15.09765625" style="2" customWidth="1"/>
    <col min="11781" max="12032" width="7.8984375" style="2"/>
    <col min="12033" max="12033" width="22.8984375" style="2" customWidth="1"/>
    <col min="12034" max="12034" width="49.8984375" style="2" customWidth="1"/>
    <col min="12035" max="12035" width="9.5" style="2" customWidth="1"/>
    <col min="12036" max="12036" width="15.09765625" style="2" customWidth="1"/>
    <col min="12037" max="12288" width="7.8984375" style="2"/>
    <col min="12289" max="12289" width="22.8984375" style="2" customWidth="1"/>
    <col min="12290" max="12290" width="49.8984375" style="2" customWidth="1"/>
    <col min="12291" max="12291" width="9.5" style="2" customWidth="1"/>
    <col min="12292" max="12292" width="15.09765625" style="2" customWidth="1"/>
    <col min="12293" max="12544" width="7.8984375" style="2"/>
    <col min="12545" max="12545" width="22.8984375" style="2" customWidth="1"/>
    <col min="12546" max="12546" width="49.8984375" style="2" customWidth="1"/>
    <col min="12547" max="12547" width="9.5" style="2" customWidth="1"/>
    <col min="12548" max="12548" width="15.09765625" style="2" customWidth="1"/>
    <col min="12549" max="12800" width="7.8984375" style="2"/>
    <col min="12801" max="12801" width="22.8984375" style="2" customWidth="1"/>
    <col min="12802" max="12802" width="49.8984375" style="2" customWidth="1"/>
    <col min="12803" max="12803" width="9.5" style="2" customWidth="1"/>
    <col min="12804" max="12804" width="15.09765625" style="2" customWidth="1"/>
    <col min="12805" max="13056" width="7.8984375" style="2"/>
    <col min="13057" max="13057" width="22.8984375" style="2" customWidth="1"/>
    <col min="13058" max="13058" width="49.8984375" style="2" customWidth="1"/>
    <col min="13059" max="13059" width="9.5" style="2" customWidth="1"/>
    <col min="13060" max="13060" width="15.09765625" style="2" customWidth="1"/>
    <col min="13061" max="13312" width="7.8984375" style="2"/>
    <col min="13313" max="13313" width="22.8984375" style="2" customWidth="1"/>
    <col min="13314" max="13314" width="49.8984375" style="2" customWidth="1"/>
    <col min="13315" max="13315" width="9.5" style="2" customWidth="1"/>
    <col min="13316" max="13316" width="15.09765625" style="2" customWidth="1"/>
    <col min="13317" max="13568" width="7.8984375" style="2"/>
    <col min="13569" max="13569" width="22.8984375" style="2" customWidth="1"/>
    <col min="13570" max="13570" width="49.8984375" style="2" customWidth="1"/>
    <col min="13571" max="13571" width="9.5" style="2" customWidth="1"/>
    <col min="13572" max="13572" width="15.09765625" style="2" customWidth="1"/>
    <col min="13573" max="13824" width="7.8984375" style="2"/>
    <col min="13825" max="13825" width="22.8984375" style="2" customWidth="1"/>
    <col min="13826" max="13826" width="49.8984375" style="2" customWidth="1"/>
    <col min="13827" max="13827" width="9.5" style="2" customWidth="1"/>
    <col min="13828" max="13828" width="15.09765625" style="2" customWidth="1"/>
    <col min="13829" max="14080" width="7.8984375" style="2"/>
    <col min="14081" max="14081" width="22.8984375" style="2" customWidth="1"/>
    <col min="14082" max="14082" width="49.8984375" style="2" customWidth="1"/>
    <col min="14083" max="14083" width="9.5" style="2" customWidth="1"/>
    <col min="14084" max="14084" width="15.09765625" style="2" customWidth="1"/>
    <col min="14085" max="14336" width="7.8984375" style="2"/>
    <col min="14337" max="14337" width="22.8984375" style="2" customWidth="1"/>
    <col min="14338" max="14338" width="49.8984375" style="2" customWidth="1"/>
    <col min="14339" max="14339" width="9.5" style="2" customWidth="1"/>
    <col min="14340" max="14340" width="15.09765625" style="2" customWidth="1"/>
    <col min="14341" max="14592" width="7.8984375" style="2"/>
    <col min="14593" max="14593" width="22.8984375" style="2" customWidth="1"/>
    <col min="14594" max="14594" width="49.8984375" style="2" customWidth="1"/>
    <col min="14595" max="14595" width="9.5" style="2" customWidth="1"/>
    <col min="14596" max="14596" width="15.09765625" style="2" customWidth="1"/>
    <col min="14597" max="14848" width="7.8984375" style="2"/>
    <col min="14849" max="14849" width="22.8984375" style="2" customWidth="1"/>
    <col min="14850" max="14850" width="49.8984375" style="2" customWidth="1"/>
    <col min="14851" max="14851" width="9.5" style="2" customWidth="1"/>
    <col min="14852" max="14852" width="15.09765625" style="2" customWidth="1"/>
    <col min="14853" max="15104" width="7.8984375" style="2"/>
    <col min="15105" max="15105" width="22.8984375" style="2" customWidth="1"/>
    <col min="15106" max="15106" width="49.8984375" style="2" customWidth="1"/>
    <col min="15107" max="15107" width="9.5" style="2" customWidth="1"/>
    <col min="15108" max="15108" width="15.09765625" style="2" customWidth="1"/>
    <col min="15109" max="15360" width="7.8984375" style="2"/>
    <col min="15361" max="15361" width="22.8984375" style="2" customWidth="1"/>
    <col min="15362" max="15362" width="49.8984375" style="2" customWidth="1"/>
    <col min="15363" max="15363" width="9.5" style="2" customWidth="1"/>
    <col min="15364" max="15364" width="15.09765625" style="2" customWidth="1"/>
    <col min="15365" max="15616" width="7.8984375" style="2"/>
    <col min="15617" max="15617" width="22.8984375" style="2" customWidth="1"/>
    <col min="15618" max="15618" width="49.8984375" style="2" customWidth="1"/>
    <col min="15619" max="15619" width="9.5" style="2" customWidth="1"/>
    <col min="15620" max="15620" width="15.09765625" style="2" customWidth="1"/>
    <col min="15621" max="15872" width="7.8984375" style="2"/>
    <col min="15873" max="15873" width="22.8984375" style="2" customWidth="1"/>
    <col min="15874" max="15874" width="49.8984375" style="2" customWidth="1"/>
    <col min="15875" max="15875" width="9.5" style="2" customWidth="1"/>
    <col min="15876" max="15876" width="15.09765625" style="2" customWidth="1"/>
    <col min="15877" max="16128" width="7.8984375" style="2"/>
    <col min="16129" max="16129" width="22.8984375" style="2" customWidth="1"/>
    <col min="16130" max="16130" width="49.8984375" style="2" customWidth="1"/>
    <col min="16131" max="16131" width="9.5" style="2" customWidth="1"/>
    <col min="16132" max="16132" width="15.09765625" style="2" customWidth="1"/>
    <col min="16133" max="16384" width="7.8984375" style="2"/>
  </cols>
  <sheetData>
    <row r="1" spans="1:5" x14ac:dyDescent="0.25">
      <c r="A1" s="380"/>
      <c r="B1" s="380"/>
      <c r="C1" s="380"/>
      <c r="D1" s="380"/>
    </row>
    <row r="2" spans="1:5" x14ac:dyDescent="0.25">
      <c r="A2" s="381" t="s">
        <v>127</v>
      </c>
      <c r="B2" s="381"/>
      <c r="C2" s="381"/>
      <c r="D2" s="381"/>
      <c r="E2" s="56"/>
    </row>
    <row r="3" spans="1:5" x14ac:dyDescent="0.25">
      <c r="A3" s="381" t="s">
        <v>128</v>
      </c>
      <c r="B3" s="381"/>
      <c r="C3" s="381"/>
      <c r="D3" s="381"/>
      <c r="E3" s="56"/>
    </row>
    <row r="4" spans="1:5" x14ac:dyDescent="0.25">
      <c r="A4" s="380"/>
      <c r="B4" s="380"/>
      <c r="C4" s="380"/>
      <c r="D4" s="380"/>
    </row>
    <row r="5" spans="1:5" ht="15.6" x14ac:dyDescent="0.25">
      <c r="A5" s="382" t="str">
        <f>INSTRUÇÕES!A6</f>
        <v>OBRA: SFCR DA ESMPU - 2021</v>
      </c>
      <c r="B5" s="382"/>
      <c r="C5" s="382"/>
      <c r="D5" s="382"/>
      <c r="E5" s="212"/>
    </row>
    <row r="6" spans="1:5" x14ac:dyDescent="0.25">
      <c r="A6" s="316" t="s">
        <v>129</v>
      </c>
      <c r="B6" s="316"/>
      <c r="C6" s="316"/>
      <c r="D6" s="316"/>
      <c r="E6" s="56"/>
    </row>
    <row r="7" spans="1:5" x14ac:dyDescent="0.25">
      <c r="A7" s="176"/>
      <c r="B7" s="176"/>
      <c r="C7" s="176"/>
      <c r="D7" s="176"/>
      <c r="E7" s="56"/>
    </row>
    <row r="8" spans="1:5" ht="20.100000000000001" customHeight="1" x14ac:dyDescent="0.25">
      <c r="A8" s="1" t="s">
        <v>0</v>
      </c>
      <c r="B8" s="383" t="s">
        <v>130</v>
      </c>
      <c r="C8" s="383"/>
      <c r="D8" s="384"/>
    </row>
    <row r="9" spans="1:5" ht="15" customHeight="1" x14ac:dyDescent="0.25">
      <c r="A9" s="3">
        <v>1</v>
      </c>
      <c r="B9" s="4" t="s">
        <v>131</v>
      </c>
      <c r="C9" s="385" t="s">
        <v>132</v>
      </c>
      <c r="D9" s="121">
        <v>1.1369</v>
      </c>
    </row>
    <row r="10" spans="1:5" ht="15" customHeight="1" x14ac:dyDescent="0.25">
      <c r="A10" s="5">
        <v>2</v>
      </c>
      <c r="B10" s="6" t="s">
        <v>133</v>
      </c>
      <c r="C10" s="386"/>
      <c r="D10" s="122">
        <v>0.73060000000000003</v>
      </c>
    </row>
    <row r="11" spans="1:5" ht="15" customHeight="1" x14ac:dyDescent="0.25">
      <c r="A11" s="387"/>
      <c r="B11" s="388"/>
      <c r="C11" s="388"/>
      <c r="D11" s="389"/>
    </row>
    <row r="12" spans="1:5" ht="20.100000000000001" customHeight="1" x14ac:dyDescent="0.25">
      <c r="A12" s="1" t="s">
        <v>0</v>
      </c>
      <c r="B12" s="383" t="s">
        <v>134</v>
      </c>
      <c r="C12" s="383"/>
      <c r="D12" s="384"/>
    </row>
    <row r="13" spans="1:5" ht="15" customHeight="1" x14ac:dyDescent="0.25">
      <c r="A13" s="3">
        <v>1</v>
      </c>
      <c r="B13" s="4" t="s">
        <v>135</v>
      </c>
      <c r="C13" s="7" t="s">
        <v>136</v>
      </c>
      <c r="D13" s="8">
        <v>1.2699999999999999E-2</v>
      </c>
    </row>
    <row r="14" spans="1:5" ht="15" customHeight="1" x14ac:dyDescent="0.25">
      <c r="A14" s="9">
        <v>2</v>
      </c>
      <c r="B14" s="10" t="s">
        <v>137</v>
      </c>
      <c r="C14" s="11" t="s">
        <v>138</v>
      </c>
      <c r="D14" s="12">
        <v>5.0000000000000001E-3</v>
      </c>
    </row>
    <row r="15" spans="1:5" ht="15" customHeight="1" x14ac:dyDescent="0.25">
      <c r="A15" s="9">
        <v>3</v>
      </c>
      <c r="B15" s="10" t="s">
        <v>139</v>
      </c>
      <c r="C15" s="11" t="s">
        <v>140</v>
      </c>
      <c r="D15" s="12">
        <v>3.0000000000000001E-3</v>
      </c>
    </row>
    <row r="16" spans="1:5" ht="15" customHeight="1" x14ac:dyDescent="0.25">
      <c r="A16" s="9">
        <v>4</v>
      </c>
      <c r="B16" s="13" t="s">
        <v>141</v>
      </c>
      <c r="C16" s="178" t="s">
        <v>142</v>
      </c>
      <c r="D16" s="14">
        <v>1.23E-2</v>
      </c>
    </row>
    <row r="17" spans="1:4" ht="15" customHeight="1" x14ac:dyDescent="0.25">
      <c r="A17" s="9">
        <v>5</v>
      </c>
      <c r="B17" s="13" t="s">
        <v>143</v>
      </c>
      <c r="C17" s="178" t="s">
        <v>144</v>
      </c>
      <c r="D17" s="14">
        <v>0.04</v>
      </c>
    </row>
    <row r="18" spans="1:4" ht="15" customHeight="1" x14ac:dyDescent="0.25">
      <c r="A18" s="9">
        <v>6</v>
      </c>
      <c r="B18" s="13" t="s">
        <v>145</v>
      </c>
      <c r="C18" s="178" t="s">
        <v>55</v>
      </c>
      <c r="D18" s="14">
        <v>7.3999999999999996E-2</v>
      </c>
    </row>
    <row r="19" spans="1:4" ht="15" customHeight="1" x14ac:dyDescent="0.25">
      <c r="A19" s="9">
        <v>7</v>
      </c>
      <c r="B19" s="13" t="s">
        <v>146</v>
      </c>
      <c r="C19" s="390" t="s">
        <v>147</v>
      </c>
      <c r="D19" s="15">
        <v>0.03</v>
      </c>
    </row>
    <row r="20" spans="1:4" ht="15" customHeight="1" x14ac:dyDescent="0.25">
      <c r="A20" s="9">
        <v>8</v>
      </c>
      <c r="B20" s="13" t="s">
        <v>148</v>
      </c>
      <c r="C20" s="390"/>
      <c r="D20" s="14">
        <v>6.4999999999999997E-3</v>
      </c>
    </row>
    <row r="21" spans="1:4" ht="15" customHeight="1" x14ac:dyDescent="0.25">
      <c r="A21" s="9">
        <v>9</v>
      </c>
      <c r="B21" s="13" t="s">
        <v>149</v>
      </c>
      <c r="C21" s="390"/>
      <c r="D21" s="14">
        <v>0</v>
      </c>
    </row>
    <row r="22" spans="1:4" ht="15" customHeight="1" x14ac:dyDescent="0.25">
      <c r="A22" s="16">
        <v>10</v>
      </c>
      <c r="B22" s="6" t="s">
        <v>150</v>
      </c>
      <c r="C22" s="391"/>
      <c r="D22" s="17">
        <v>0.02</v>
      </c>
    </row>
    <row r="23" spans="1:4" s="22" customFormat="1" ht="39.9" customHeight="1" x14ac:dyDescent="0.25">
      <c r="A23" s="18" t="s">
        <v>151</v>
      </c>
      <c r="B23" s="19" t="s">
        <v>152</v>
      </c>
      <c r="C23" s="20" t="s">
        <v>126</v>
      </c>
      <c r="D23" s="21">
        <f>TRUNC((((((1+(D13+D14+D15+D17))*(1+D16)*(1+D18))/(1-(SUM(D19:D22))))-1)),4)</f>
        <v>0.22220000000000001</v>
      </c>
    </row>
    <row r="24" spans="1:4" s="22" customFormat="1" x14ac:dyDescent="0.25">
      <c r="D24" s="23"/>
    </row>
    <row r="25" spans="1:4" s="22" customFormat="1" x14ac:dyDescent="0.25">
      <c r="D25" s="23"/>
    </row>
    <row r="26" spans="1:4" x14ac:dyDescent="0.25">
      <c r="D26" s="24"/>
    </row>
    <row r="27" spans="1:4" x14ac:dyDescent="0.25">
      <c r="D27" s="24"/>
    </row>
  </sheetData>
  <sheetProtection algorithmName="SHA-512" hashValue="4EPHZ6NQCtNUiaPTWVsNPF0J2QgGj+ZlBOQzQMbxy+fAzfF0nAKalW61Y1mKZoVHLJt0Eo3a/q0COLXfj1Dukg==" saltValue="qUFpKwuQN4y/oT7AlsWMUQ==" spinCount="100000" sheet="1"/>
  <mergeCells count="11">
    <mergeCell ref="B8:D8"/>
    <mergeCell ref="C9:C10"/>
    <mergeCell ref="A11:D11"/>
    <mergeCell ref="B12:D12"/>
    <mergeCell ref="C19:C22"/>
    <mergeCell ref="A6:D6"/>
    <mergeCell ref="A1:D1"/>
    <mergeCell ref="A2:D2"/>
    <mergeCell ref="A3:D3"/>
    <mergeCell ref="A4:D4"/>
    <mergeCell ref="A5:D5"/>
  </mergeCells>
  <pageMargins left="0.78740157480314965" right="0.78740157480314965" top="0.78740157480314965" bottom="0.78740157480314965" header="0.31496062992125984" footer="0.51181102362204722"/>
  <pageSetup paperSize="9" scale="76" orientation="portrait" r:id="rId1"/>
  <headerFooter>
    <oddFooter>&amp;R&amp;P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3"/>
  <dimension ref="A1:J25"/>
  <sheetViews>
    <sheetView showGridLines="0" view="pageBreakPreview" zoomScale="85" zoomScaleNormal="70" zoomScaleSheetLayoutView="85" workbookViewId="0">
      <selection activeCell="C13" sqref="C9:C14"/>
    </sheetView>
  </sheetViews>
  <sheetFormatPr defaultColWidth="7.8984375" defaultRowHeight="17.399999999999999" x14ac:dyDescent="0.25"/>
  <cols>
    <col min="1" max="1" width="8.5" style="45" customWidth="1"/>
    <col min="2" max="2" width="57.8984375" style="50" customWidth="1"/>
    <col min="3" max="3" width="20.19921875" style="49" customWidth="1"/>
    <col min="4" max="8" width="18.09765625" style="49" customWidth="1"/>
    <col min="9" max="10" width="18.09765625" style="36" customWidth="1"/>
    <col min="11" max="254" width="7.8984375" style="36"/>
    <col min="255" max="255" width="8.5" style="36" customWidth="1"/>
    <col min="256" max="256" width="57.8984375" style="36" customWidth="1"/>
    <col min="257" max="257" width="20.19921875" style="36" customWidth="1"/>
    <col min="258" max="264" width="18.09765625" style="36" customWidth="1"/>
    <col min="265" max="265" width="9.3984375" style="36" customWidth="1"/>
    <col min="266" max="266" width="11.8984375" style="36" customWidth="1"/>
    <col min="267" max="510" width="7.8984375" style="36"/>
    <col min="511" max="511" width="8.5" style="36" customWidth="1"/>
    <col min="512" max="512" width="57.8984375" style="36" customWidth="1"/>
    <col min="513" max="513" width="20.19921875" style="36" customWidth="1"/>
    <col min="514" max="520" width="18.09765625" style="36" customWidth="1"/>
    <col min="521" max="521" width="9.3984375" style="36" customWidth="1"/>
    <col min="522" max="522" width="11.8984375" style="36" customWidth="1"/>
    <col min="523" max="766" width="7.8984375" style="36"/>
    <col min="767" max="767" width="8.5" style="36" customWidth="1"/>
    <col min="768" max="768" width="57.8984375" style="36" customWidth="1"/>
    <col min="769" max="769" width="20.19921875" style="36" customWidth="1"/>
    <col min="770" max="776" width="18.09765625" style="36" customWidth="1"/>
    <col min="777" max="777" width="9.3984375" style="36" customWidth="1"/>
    <col min="778" max="778" width="11.8984375" style="36" customWidth="1"/>
    <col min="779" max="1022" width="7.8984375" style="36"/>
    <col min="1023" max="1023" width="8.5" style="36" customWidth="1"/>
    <col min="1024" max="1024" width="57.8984375" style="36" customWidth="1"/>
    <col min="1025" max="1025" width="20.19921875" style="36" customWidth="1"/>
    <col min="1026" max="1032" width="18.09765625" style="36" customWidth="1"/>
    <col min="1033" max="1033" width="9.3984375" style="36" customWidth="1"/>
    <col min="1034" max="1034" width="11.8984375" style="36" customWidth="1"/>
    <col min="1035" max="1278" width="7.8984375" style="36"/>
    <col min="1279" max="1279" width="8.5" style="36" customWidth="1"/>
    <col min="1280" max="1280" width="57.8984375" style="36" customWidth="1"/>
    <col min="1281" max="1281" width="20.19921875" style="36" customWidth="1"/>
    <col min="1282" max="1288" width="18.09765625" style="36" customWidth="1"/>
    <col min="1289" max="1289" width="9.3984375" style="36" customWidth="1"/>
    <col min="1290" max="1290" width="11.8984375" style="36" customWidth="1"/>
    <col min="1291" max="1534" width="7.8984375" style="36"/>
    <col min="1535" max="1535" width="8.5" style="36" customWidth="1"/>
    <col min="1536" max="1536" width="57.8984375" style="36" customWidth="1"/>
    <col min="1537" max="1537" width="20.19921875" style="36" customWidth="1"/>
    <col min="1538" max="1544" width="18.09765625" style="36" customWidth="1"/>
    <col min="1545" max="1545" width="9.3984375" style="36" customWidth="1"/>
    <col min="1546" max="1546" width="11.8984375" style="36" customWidth="1"/>
    <col min="1547" max="1790" width="7.8984375" style="36"/>
    <col min="1791" max="1791" width="8.5" style="36" customWidth="1"/>
    <col min="1792" max="1792" width="57.8984375" style="36" customWidth="1"/>
    <col min="1793" max="1793" width="20.19921875" style="36" customWidth="1"/>
    <col min="1794" max="1800" width="18.09765625" style="36" customWidth="1"/>
    <col min="1801" max="1801" width="9.3984375" style="36" customWidth="1"/>
    <col min="1802" max="1802" width="11.8984375" style="36" customWidth="1"/>
    <col min="1803" max="2046" width="7.8984375" style="36"/>
    <col min="2047" max="2047" width="8.5" style="36" customWidth="1"/>
    <col min="2048" max="2048" width="57.8984375" style="36" customWidth="1"/>
    <col min="2049" max="2049" width="20.19921875" style="36" customWidth="1"/>
    <col min="2050" max="2056" width="18.09765625" style="36" customWidth="1"/>
    <col min="2057" max="2057" width="9.3984375" style="36" customWidth="1"/>
    <col min="2058" max="2058" width="11.8984375" style="36" customWidth="1"/>
    <col min="2059" max="2302" width="7.8984375" style="36"/>
    <col min="2303" max="2303" width="8.5" style="36" customWidth="1"/>
    <col min="2304" max="2304" width="57.8984375" style="36" customWidth="1"/>
    <col min="2305" max="2305" width="20.19921875" style="36" customWidth="1"/>
    <col min="2306" max="2312" width="18.09765625" style="36" customWidth="1"/>
    <col min="2313" max="2313" width="9.3984375" style="36" customWidth="1"/>
    <col min="2314" max="2314" width="11.8984375" style="36" customWidth="1"/>
    <col min="2315" max="2558" width="7.8984375" style="36"/>
    <col min="2559" max="2559" width="8.5" style="36" customWidth="1"/>
    <col min="2560" max="2560" width="57.8984375" style="36" customWidth="1"/>
    <col min="2561" max="2561" width="20.19921875" style="36" customWidth="1"/>
    <col min="2562" max="2568" width="18.09765625" style="36" customWidth="1"/>
    <col min="2569" max="2569" width="9.3984375" style="36" customWidth="1"/>
    <col min="2570" max="2570" width="11.8984375" style="36" customWidth="1"/>
    <col min="2571" max="2814" width="7.8984375" style="36"/>
    <col min="2815" max="2815" width="8.5" style="36" customWidth="1"/>
    <col min="2816" max="2816" width="57.8984375" style="36" customWidth="1"/>
    <col min="2817" max="2817" width="20.19921875" style="36" customWidth="1"/>
    <col min="2818" max="2824" width="18.09765625" style="36" customWidth="1"/>
    <col min="2825" max="2825" width="9.3984375" style="36" customWidth="1"/>
    <col min="2826" max="2826" width="11.8984375" style="36" customWidth="1"/>
    <col min="2827" max="3070" width="7.8984375" style="36"/>
    <col min="3071" max="3071" width="8.5" style="36" customWidth="1"/>
    <col min="3072" max="3072" width="57.8984375" style="36" customWidth="1"/>
    <col min="3073" max="3073" width="20.19921875" style="36" customWidth="1"/>
    <col min="3074" max="3080" width="18.09765625" style="36" customWidth="1"/>
    <col min="3081" max="3081" width="9.3984375" style="36" customWidth="1"/>
    <col min="3082" max="3082" width="11.8984375" style="36" customWidth="1"/>
    <col min="3083" max="3326" width="7.8984375" style="36"/>
    <col min="3327" max="3327" width="8.5" style="36" customWidth="1"/>
    <col min="3328" max="3328" width="57.8984375" style="36" customWidth="1"/>
    <col min="3329" max="3329" width="20.19921875" style="36" customWidth="1"/>
    <col min="3330" max="3336" width="18.09765625" style="36" customWidth="1"/>
    <col min="3337" max="3337" width="9.3984375" style="36" customWidth="1"/>
    <col min="3338" max="3338" width="11.8984375" style="36" customWidth="1"/>
    <col min="3339" max="3582" width="7.8984375" style="36"/>
    <col min="3583" max="3583" width="8.5" style="36" customWidth="1"/>
    <col min="3584" max="3584" width="57.8984375" style="36" customWidth="1"/>
    <col min="3585" max="3585" width="20.19921875" style="36" customWidth="1"/>
    <col min="3586" max="3592" width="18.09765625" style="36" customWidth="1"/>
    <col min="3593" max="3593" width="9.3984375" style="36" customWidth="1"/>
    <col min="3594" max="3594" width="11.8984375" style="36" customWidth="1"/>
    <col min="3595" max="3838" width="7.8984375" style="36"/>
    <col min="3839" max="3839" width="8.5" style="36" customWidth="1"/>
    <col min="3840" max="3840" width="57.8984375" style="36" customWidth="1"/>
    <col min="3841" max="3841" width="20.19921875" style="36" customWidth="1"/>
    <col min="3842" max="3848" width="18.09765625" style="36" customWidth="1"/>
    <col min="3849" max="3849" width="9.3984375" style="36" customWidth="1"/>
    <col min="3850" max="3850" width="11.8984375" style="36" customWidth="1"/>
    <col min="3851" max="4094" width="7.8984375" style="36"/>
    <col min="4095" max="4095" width="8.5" style="36" customWidth="1"/>
    <col min="4096" max="4096" width="57.8984375" style="36" customWidth="1"/>
    <col min="4097" max="4097" width="20.19921875" style="36" customWidth="1"/>
    <col min="4098" max="4104" width="18.09765625" style="36" customWidth="1"/>
    <col min="4105" max="4105" width="9.3984375" style="36" customWidth="1"/>
    <col min="4106" max="4106" width="11.8984375" style="36" customWidth="1"/>
    <col min="4107" max="4350" width="7.8984375" style="36"/>
    <col min="4351" max="4351" width="8.5" style="36" customWidth="1"/>
    <col min="4352" max="4352" width="57.8984375" style="36" customWidth="1"/>
    <col min="4353" max="4353" width="20.19921875" style="36" customWidth="1"/>
    <col min="4354" max="4360" width="18.09765625" style="36" customWidth="1"/>
    <col min="4361" max="4361" width="9.3984375" style="36" customWidth="1"/>
    <col min="4362" max="4362" width="11.8984375" style="36" customWidth="1"/>
    <col min="4363" max="4606" width="7.8984375" style="36"/>
    <col min="4607" max="4607" width="8.5" style="36" customWidth="1"/>
    <col min="4608" max="4608" width="57.8984375" style="36" customWidth="1"/>
    <col min="4609" max="4609" width="20.19921875" style="36" customWidth="1"/>
    <col min="4610" max="4616" width="18.09765625" style="36" customWidth="1"/>
    <col min="4617" max="4617" width="9.3984375" style="36" customWidth="1"/>
    <col min="4618" max="4618" width="11.8984375" style="36" customWidth="1"/>
    <col min="4619" max="4862" width="7.8984375" style="36"/>
    <col min="4863" max="4863" width="8.5" style="36" customWidth="1"/>
    <col min="4864" max="4864" width="57.8984375" style="36" customWidth="1"/>
    <col min="4865" max="4865" width="20.19921875" style="36" customWidth="1"/>
    <col min="4866" max="4872" width="18.09765625" style="36" customWidth="1"/>
    <col min="4873" max="4873" width="9.3984375" style="36" customWidth="1"/>
    <col min="4874" max="4874" width="11.8984375" style="36" customWidth="1"/>
    <col min="4875" max="5118" width="7.8984375" style="36"/>
    <col min="5119" max="5119" width="8.5" style="36" customWidth="1"/>
    <col min="5120" max="5120" width="57.8984375" style="36" customWidth="1"/>
    <col min="5121" max="5121" width="20.19921875" style="36" customWidth="1"/>
    <col min="5122" max="5128" width="18.09765625" style="36" customWidth="1"/>
    <col min="5129" max="5129" width="9.3984375" style="36" customWidth="1"/>
    <col min="5130" max="5130" width="11.8984375" style="36" customWidth="1"/>
    <col min="5131" max="5374" width="7.8984375" style="36"/>
    <col min="5375" max="5375" width="8.5" style="36" customWidth="1"/>
    <col min="5376" max="5376" width="57.8984375" style="36" customWidth="1"/>
    <col min="5377" max="5377" width="20.19921875" style="36" customWidth="1"/>
    <col min="5378" max="5384" width="18.09765625" style="36" customWidth="1"/>
    <col min="5385" max="5385" width="9.3984375" style="36" customWidth="1"/>
    <col min="5386" max="5386" width="11.8984375" style="36" customWidth="1"/>
    <col min="5387" max="5630" width="7.8984375" style="36"/>
    <col min="5631" max="5631" width="8.5" style="36" customWidth="1"/>
    <col min="5632" max="5632" width="57.8984375" style="36" customWidth="1"/>
    <col min="5633" max="5633" width="20.19921875" style="36" customWidth="1"/>
    <col min="5634" max="5640" width="18.09765625" style="36" customWidth="1"/>
    <col min="5641" max="5641" width="9.3984375" style="36" customWidth="1"/>
    <col min="5642" max="5642" width="11.8984375" style="36" customWidth="1"/>
    <col min="5643" max="5886" width="7.8984375" style="36"/>
    <col min="5887" max="5887" width="8.5" style="36" customWidth="1"/>
    <col min="5888" max="5888" width="57.8984375" style="36" customWidth="1"/>
    <col min="5889" max="5889" width="20.19921875" style="36" customWidth="1"/>
    <col min="5890" max="5896" width="18.09765625" style="36" customWidth="1"/>
    <col min="5897" max="5897" width="9.3984375" style="36" customWidth="1"/>
    <col min="5898" max="5898" width="11.8984375" style="36" customWidth="1"/>
    <col min="5899" max="6142" width="7.8984375" style="36"/>
    <col min="6143" max="6143" width="8.5" style="36" customWidth="1"/>
    <col min="6144" max="6144" width="57.8984375" style="36" customWidth="1"/>
    <col min="6145" max="6145" width="20.19921875" style="36" customWidth="1"/>
    <col min="6146" max="6152" width="18.09765625" style="36" customWidth="1"/>
    <col min="6153" max="6153" width="9.3984375" style="36" customWidth="1"/>
    <col min="6154" max="6154" width="11.8984375" style="36" customWidth="1"/>
    <col min="6155" max="6398" width="7.8984375" style="36"/>
    <col min="6399" max="6399" width="8.5" style="36" customWidth="1"/>
    <col min="6400" max="6400" width="57.8984375" style="36" customWidth="1"/>
    <col min="6401" max="6401" width="20.19921875" style="36" customWidth="1"/>
    <col min="6402" max="6408" width="18.09765625" style="36" customWidth="1"/>
    <col min="6409" max="6409" width="9.3984375" style="36" customWidth="1"/>
    <col min="6410" max="6410" width="11.8984375" style="36" customWidth="1"/>
    <col min="6411" max="6654" width="7.8984375" style="36"/>
    <col min="6655" max="6655" width="8.5" style="36" customWidth="1"/>
    <col min="6656" max="6656" width="57.8984375" style="36" customWidth="1"/>
    <col min="6657" max="6657" width="20.19921875" style="36" customWidth="1"/>
    <col min="6658" max="6664" width="18.09765625" style="36" customWidth="1"/>
    <col min="6665" max="6665" width="9.3984375" style="36" customWidth="1"/>
    <col min="6666" max="6666" width="11.8984375" style="36" customWidth="1"/>
    <col min="6667" max="6910" width="7.8984375" style="36"/>
    <col min="6911" max="6911" width="8.5" style="36" customWidth="1"/>
    <col min="6912" max="6912" width="57.8984375" style="36" customWidth="1"/>
    <col min="6913" max="6913" width="20.19921875" style="36" customWidth="1"/>
    <col min="6914" max="6920" width="18.09765625" style="36" customWidth="1"/>
    <col min="6921" max="6921" width="9.3984375" style="36" customWidth="1"/>
    <col min="6922" max="6922" width="11.8984375" style="36" customWidth="1"/>
    <col min="6923" max="7166" width="7.8984375" style="36"/>
    <col min="7167" max="7167" width="8.5" style="36" customWidth="1"/>
    <col min="7168" max="7168" width="57.8984375" style="36" customWidth="1"/>
    <col min="7169" max="7169" width="20.19921875" style="36" customWidth="1"/>
    <col min="7170" max="7176" width="18.09765625" style="36" customWidth="1"/>
    <col min="7177" max="7177" width="9.3984375" style="36" customWidth="1"/>
    <col min="7178" max="7178" width="11.8984375" style="36" customWidth="1"/>
    <col min="7179" max="7422" width="7.8984375" style="36"/>
    <col min="7423" max="7423" width="8.5" style="36" customWidth="1"/>
    <col min="7424" max="7424" width="57.8984375" style="36" customWidth="1"/>
    <col min="7425" max="7425" width="20.19921875" style="36" customWidth="1"/>
    <col min="7426" max="7432" width="18.09765625" style="36" customWidth="1"/>
    <col min="7433" max="7433" width="9.3984375" style="36" customWidth="1"/>
    <col min="7434" max="7434" width="11.8984375" style="36" customWidth="1"/>
    <col min="7435" max="7678" width="7.8984375" style="36"/>
    <col min="7679" max="7679" width="8.5" style="36" customWidth="1"/>
    <col min="7680" max="7680" width="57.8984375" style="36" customWidth="1"/>
    <col min="7681" max="7681" width="20.19921875" style="36" customWidth="1"/>
    <col min="7682" max="7688" width="18.09765625" style="36" customWidth="1"/>
    <col min="7689" max="7689" width="9.3984375" style="36" customWidth="1"/>
    <col min="7690" max="7690" width="11.8984375" style="36" customWidth="1"/>
    <col min="7691" max="7934" width="7.8984375" style="36"/>
    <col min="7935" max="7935" width="8.5" style="36" customWidth="1"/>
    <col min="7936" max="7936" width="57.8984375" style="36" customWidth="1"/>
    <col min="7937" max="7937" width="20.19921875" style="36" customWidth="1"/>
    <col min="7938" max="7944" width="18.09765625" style="36" customWidth="1"/>
    <col min="7945" max="7945" width="9.3984375" style="36" customWidth="1"/>
    <col min="7946" max="7946" width="11.8984375" style="36" customWidth="1"/>
    <col min="7947" max="8190" width="7.8984375" style="36"/>
    <col min="8191" max="8191" width="8.5" style="36" customWidth="1"/>
    <col min="8192" max="8192" width="57.8984375" style="36" customWidth="1"/>
    <col min="8193" max="8193" width="20.19921875" style="36" customWidth="1"/>
    <col min="8194" max="8200" width="18.09765625" style="36" customWidth="1"/>
    <col min="8201" max="8201" width="9.3984375" style="36" customWidth="1"/>
    <col min="8202" max="8202" width="11.8984375" style="36" customWidth="1"/>
    <col min="8203" max="8446" width="7.8984375" style="36"/>
    <col min="8447" max="8447" width="8.5" style="36" customWidth="1"/>
    <col min="8448" max="8448" width="57.8984375" style="36" customWidth="1"/>
    <col min="8449" max="8449" width="20.19921875" style="36" customWidth="1"/>
    <col min="8450" max="8456" width="18.09765625" style="36" customWidth="1"/>
    <col min="8457" max="8457" width="9.3984375" style="36" customWidth="1"/>
    <col min="8458" max="8458" width="11.8984375" style="36" customWidth="1"/>
    <col min="8459" max="8702" width="7.8984375" style="36"/>
    <col min="8703" max="8703" width="8.5" style="36" customWidth="1"/>
    <col min="8704" max="8704" width="57.8984375" style="36" customWidth="1"/>
    <col min="8705" max="8705" width="20.19921875" style="36" customWidth="1"/>
    <col min="8706" max="8712" width="18.09765625" style="36" customWidth="1"/>
    <col min="8713" max="8713" width="9.3984375" style="36" customWidth="1"/>
    <col min="8714" max="8714" width="11.8984375" style="36" customWidth="1"/>
    <col min="8715" max="8958" width="7.8984375" style="36"/>
    <col min="8959" max="8959" width="8.5" style="36" customWidth="1"/>
    <col min="8960" max="8960" width="57.8984375" style="36" customWidth="1"/>
    <col min="8961" max="8961" width="20.19921875" style="36" customWidth="1"/>
    <col min="8962" max="8968" width="18.09765625" style="36" customWidth="1"/>
    <col min="8969" max="8969" width="9.3984375" style="36" customWidth="1"/>
    <col min="8970" max="8970" width="11.8984375" style="36" customWidth="1"/>
    <col min="8971" max="9214" width="7.8984375" style="36"/>
    <col min="9215" max="9215" width="8.5" style="36" customWidth="1"/>
    <col min="9216" max="9216" width="57.8984375" style="36" customWidth="1"/>
    <col min="9217" max="9217" width="20.19921875" style="36" customWidth="1"/>
    <col min="9218" max="9224" width="18.09765625" style="36" customWidth="1"/>
    <col min="9225" max="9225" width="9.3984375" style="36" customWidth="1"/>
    <col min="9226" max="9226" width="11.8984375" style="36" customWidth="1"/>
    <col min="9227" max="9470" width="7.8984375" style="36"/>
    <col min="9471" max="9471" width="8.5" style="36" customWidth="1"/>
    <col min="9472" max="9472" width="57.8984375" style="36" customWidth="1"/>
    <col min="9473" max="9473" width="20.19921875" style="36" customWidth="1"/>
    <col min="9474" max="9480" width="18.09765625" style="36" customWidth="1"/>
    <col min="9481" max="9481" width="9.3984375" style="36" customWidth="1"/>
    <col min="9482" max="9482" width="11.8984375" style="36" customWidth="1"/>
    <col min="9483" max="9726" width="7.8984375" style="36"/>
    <col min="9727" max="9727" width="8.5" style="36" customWidth="1"/>
    <col min="9728" max="9728" width="57.8984375" style="36" customWidth="1"/>
    <col min="9729" max="9729" width="20.19921875" style="36" customWidth="1"/>
    <col min="9730" max="9736" width="18.09765625" style="36" customWidth="1"/>
    <col min="9737" max="9737" width="9.3984375" style="36" customWidth="1"/>
    <col min="9738" max="9738" width="11.8984375" style="36" customWidth="1"/>
    <col min="9739" max="9982" width="7.8984375" style="36"/>
    <col min="9983" max="9983" width="8.5" style="36" customWidth="1"/>
    <col min="9984" max="9984" width="57.8984375" style="36" customWidth="1"/>
    <col min="9985" max="9985" width="20.19921875" style="36" customWidth="1"/>
    <col min="9986" max="9992" width="18.09765625" style="36" customWidth="1"/>
    <col min="9993" max="9993" width="9.3984375" style="36" customWidth="1"/>
    <col min="9994" max="9994" width="11.8984375" style="36" customWidth="1"/>
    <col min="9995" max="10238" width="7.8984375" style="36"/>
    <col min="10239" max="10239" width="8.5" style="36" customWidth="1"/>
    <col min="10240" max="10240" width="57.8984375" style="36" customWidth="1"/>
    <col min="10241" max="10241" width="20.19921875" style="36" customWidth="1"/>
    <col min="10242" max="10248" width="18.09765625" style="36" customWidth="1"/>
    <col min="10249" max="10249" width="9.3984375" style="36" customWidth="1"/>
    <col min="10250" max="10250" width="11.8984375" style="36" customWidth="1"/>
    <col min="10251" max="10494" width="7.8984375" style="36"/>
    <col min="10495" max="10495" width="8.5" style="36" customWidth="1"/>
    <col min="10496" max="10496" width="57.8984375" style="36" customWidth="1"/>
    <col min="10497" max="10497" width="20.19921875" style="36" customWidth="1"/>
    <col min="10498" max="10504" width="18.09765625" style="36" customWidth="1"/>
    <col min="10505" max="10505" width="9.3984375" style="36" customWidth="1"/>
    <col min="10506" max="10506" width="11.8984375" style="36" customWidth="1"/>
    <col min="10507" max="10750" width="7.8984375" style="36"/>
    <col min="10751" max="10751" width="8.5" style="36" customWidth="1"/>
    <col min="10752" max="10752" width="57.8984375" style="36" customWidth="1"/>
    <col min="10753" max="10753" width="20.19921875" style="36" customWidth="1"/>
    <col min="10754" max="10760" width="18.09765625" style="36" customWidth="1"/>
    <col min="10761" max="10761" width="9.3984375" style="36" customWidth="1"/>
    <col min="10762" max="10762" width="11.8984375" style="36" customWidth="1"/>
    <col min="10763" max="11006" width="7.8984375" style="36"/>
    <col min="11007" max="11007" width="8.5" style="36" customWidth="1"/>
    <col min="11008" max="11008" width="57.8984375" style="36" customWidth="1"/>
    <col min="11009" max="11009" width="20.19921875" style="36" customWidth="1"/>
    <col min="11010" max="11016" width="18.09765625" style="36" customWidth="1"/>
    <col min="11017" max="11017" width="9.3984375" style="36" customWidth="1"/>
    <col min="11018" max="11018" width="11.8984375" style="36" customWidth="1"/>
    <col min="11019" max="11262" width="7.8984375" style="36"/>
    <col min="11263" max="11263" width="8.5" style="36" customWidth="1"/>
    <col min="11264" max="11264" width="57.8984375" style="36" customWidth="1"/>
    <col min="11265" max="11265" width="20.19921875" style="36" customWidth="1"/>
    <col min="11266" max="11272" width="18.09765625" style="36" customWidth="1"/>
    <col min="11273" max="11273" width="9.3984375" style="36" customWidth="1"/>
    <col min="11274" max="11274" width="11.8984375" style="36" customWidth="1"/>
    <col min="11275" max="11518" width="7.8984375" style="36"/>
    <col min="11519" max="11519" width="8.5" style="36" customWidth="1"/>
    <col min="11520" max="11520" width="57.8984375" style="36" customWidth="1"/>
    <col min="11521" max="11521" width="20.19921875" style="36" customWidth="1"/>
    <col min="11522" max="11528" width="18.09765625" style="36" customWidth="1"/>
    <col min="11529" max="11529" width="9.3984375" style="36" customWidth="1"/>
    <col min="11530" max="11530" width="11.8984375" style="36" customWidth="1"/>
    <col min="11531" max="11774" width="7.8984375" style="36"/>
    <col min="11775" max="11775" width="8.5" style="36" customWidth="1"/>
    <col min="11776" max="11776" width="57.8984375" style="36" customWidth="1"/>
    <col min="11777" max="11777" width="20.19921875" style="36" customWidth="1"/>
    <col min="11778" max="11784" width="18.09765625" style="36" customWidth="1"/>
    <col min="11785" max="11785" width="9.3984375" style="36" customWidth="1"/>
    <col min="11786" max="11786" width="11.8984375" style="36" customWidth="1"/>
    <col min="11787" max="12030" width="7.8984375" style="36"/>
    <col min="12031" max="12031" width="8.5" style="36" customWidth="1"/>
    <col min="12032" max="12032" width="57.8984375" style="36" customWidth="1"/>
    <col min="12033" max="12033" width="20.19921875" style="36" customWidth="1"/>
    <col min="12034" max="12040" width="18.09765625" style="36" customWidth="1"/>
    <col min="12041" max="12041" width="9.3984375" style="36" customWidth="1"/>
    <col min="12042" max="12042" width="11.8984375" style="36" customWidth="1"/>
    <col min="12043" max="12286" width="7.8984375" style="36"/>
    <col min="12287" max="12287" width="8.5" style="36" customWidth="1"/>
    <col min="12288" max="12288" width="57.8984375" style="36" customWidth="1"/>
    <col min="12289" max="12289" width="20.19921875" style="36" customWidth="1"/>
    <col min="12290" max="12296" width="18.09765625" style="36" customWidth="1"/>
    <col min="12297" max="12297" width="9.3984375" style="36" customWidth="1"/>
    <col min="12298" max="12298" width="11.8984375" style="36" customWidth="1"/>
    <col min="12299" max="12542" width="7.8984375" style="36"/>
    <col min="12543" max="12543" width="8.5" style="36" customWidth="1"/>
    <col min="12544" max="12544" width="57.8984375" style="36" customWidth="1"/>
    <col min="12545" max="12545" width="20.19921875" style="36" customWidth="1"/>
    <col min="12546" max="12552" width="18.09765625" style="36" customWidth="1"/>
    <col min="12553" max="12553" width="9.3984375" style="36" customWidth="1"/>
    <col min="12554" max="12554" width="11.8984375" style="36" customWidth="1"/>
    <col min="12555" max="12798" width="7.8984375" style="36"/>
    <col min="12799" max="12799" width="8.5" style="36" customWidth="1"/>
    <col min="12800" max="12800" width="57.8984375" style="36" customWidth="1"/>
    <col min="12801" max="12801" width="20.19921875" style="36" customWidth="1"/>
    <col min="12802" max="12808" width="18.09765625" style="36" customWidth="1"/>
    <col min="12809" max="12809" width="9.3984375" style="36" customWidth="1"/>
    <col min="12810" max="12810" width="11.8984375" style="36" customWidth="1"/>
    <col min="12811" max="13054" width="7.8984375" style="36"/>
    <col min="13055" max="13055" width="8.5" style="36" customWidth="1"/>
    <col min="13056" max="13056" width="57.8984375" style="36" customWidth="1"/>
    <col min="13057" max="13057" width="20.19921875" style="36" customWidth="1"/>
    <col min="13058" max="13064" width="18.09765625" style="36" customWidth="1"/>
    <col min="13065" max="13065" width="9.3984375" style="36" customWidth="1"/>
    <col min="13066" max="13066" width="11.8984375" style="36" customWidth="1"/>
    <col min="13067" max="13310" width="7.8984375" style="36"/>
    <col min="13311" max="13311" width="8.5" style="36" customWidth="1"/>
    <col min="13312" max="13312" width="57.8984375" style="36" customWidth="1"/>
    <col min="13313" max="13313" width="20.19921875" style="36" customWidth="1"/>
    <col min="13314" max="13320" width="18.09765625" style="36" customWidth="1"/>
    <col min="13321" max="13321" width="9.3984375" style="36" customWidth="1"/>
    <col min="13322" max="13322" width="11.8984375" style="36" customWidth="1"/>
    <col min="13323" max="13566" width="7.8984375" style="36"/>
    <col min="13567" max="13567" width="8.5" style="36" customWidth="1"/>
    <col min="13568" max="13568" width="57.8984375" style="36" customWidth="1"/>
    <col min="13569" max="13569" width="20.19921875" style="36" customWidth="1"/>
    <col min="13570" max="13576" width="18.09765625" style="36" customWidth="1"/>
    <col min="13577" max="13577" width="9.3984375" style="36" customWidth="1"/>
    <col min="13578" max="13578" width="11.8984375" style="36" customWidth="1"/>
    <col min="13579" max="13822" width="7.8984375" style="36"/>
    <col min="13823" max="13823" width="8.5" style="36" customWidth="1"/>
    <col min="13824" max="13824" width="57.8984375" style="36" customWidth="1"/>
    <col min="13825" max="13825" width="20.19921875" style="36" customWidth="1"/>
    <col min="13826" max="13832" width="18.09765625" style="36" customWidth="1"/>
    <col min="13833" max="13833" width="9.3984375" style="36" customWidth="1"/>
    <col min="13834" max="13834" width="11.8984375" style="36" customWidth="1"/>
    <col min="13835" max="14078" width="7.8984375" style="36"/>
    <col min="14079" max="14079" width="8.5" style="36" customWidth="1"/>
    <col min="14080" max="14080" width="57.8984375" style="36" customWidth="1"/>
    <col min="14081" max="14081" width="20.19921875" style="36" customWidth="1"/>
    <col min="14082" max="14088" width="18.09765625" style="36" customWidth="1"/>
    <col min="14089" max="14089" width="9.3984375" style="36" customWidth="1"/>
    <col min="14090" max="14090" width="11.8984375" style="36" customWidth="1"/>
    <col min="14091" max="14334" width="7.8984375" style="36"/>
    <col min="14335" max="14335" width="8.5" style="36" customWidth="1"/>
    <col min="14336" max="14336" width="57.8984375" style="36" customWidth="1"/>
    <col min="14337" max="14337" width="20.19921875" style="36" customWidth="1"/>
    <col min="14338" max="14344" width="18.09765625" style="36" customWidth="1"/>
    <col min="14345" max="14345" width="9.3984375" style="36" customWidth="1"/>
    <col min="14346" max="14346" width="11.8984375" style="36" customWidth="1"/>
    <col min="14347" max="14590" width="7.8984375" style="36"/>
    <col min="14591" max="14591" width="8.5" style="36" customWidth="1"/>
    <col min="14592" max="14592" width="57.8984375" style="36" customWidth="1"/>
    <col min="14593" max="14593" width="20.19921875" style="36" customWidth="1"/>
    <col min="14594" max="14600" width="18.09765625" style="36" customWidth="1"/>
    <col min="14601" max="14601" width="9.3984375" style="36" customWidth="1"/>
    <col min="14602" max="14602" width="11.8984375" style="36" customWidth="1"/>
    <col min="14603" max="14846" width="7.8984375" style="36"/>
    <col min="14847" max="14847" width="8.5" style="36" customWidth="1"/>
    <col min="14848" max="14848" width="57.8984375" style="36" customWidth="1"/>
    <col min="14849" max="14849" width="20.19921875" style="36" customWidth="1"/>
    <col min="14850" max="14856" width="18.09765625" style="36" customWidth="1"/>
    <col min="14857" max="14857" width="9.3984375" style="36" customWidth="1"/>
    <col min="14858" max="14858" width="11.8984375" style="36" customWidth="1"/>
    <col min="14859" max="15102" width="7.8984375" style="36"/>
    <col min="15103" max="15103" width="8.5" style="36" customWidth="1"/>
    <col min="15104" max="15104" width="57.8984375" style="36" customWidth="1"/>
    <col min="15105" max="15105" width="20.19921875" style="36" customWidth="1"/>
    <col min="15106" max="15112" width="18.09765625" style="36" customWidth="1"/>
    <col min="15113" max="15113" width="9.3984375" style="36" customWidth="1"/>
    <col min="15114" max="15114" width="11.8984375" style="36" customWidth="1"/>
    <col min="15115" max="15358" width="7.8984375" style="36"/>
    <col min="15359" max="15359" width="8.5" style="36" customWidth="1"/>
    <col min="15360" max="15360" width="57.8984375" style="36" customWidth="1"/>
    <col min="15361" max="15361" width="20.19921875" style="36" customWidth="1"/>
    <col min="15362" max="15368" width="18.09765625" style="36" customWidth="1"/>
    <col min="15369" max="15369" width="9.3984375" style="36" customWidth="1"/>
    <col min="15370" max="15370" width="11.8984375" style="36" customWidth="1"/>
    <col min="15371" max="15614" width="7.8984375" style="36"/>
    <col min="15615" max="15615" width="8.5" style="36" customWidth="1"/>
    <col min="15616" max="15616" width="57.8984375" style="36" customWidth="1"/>
    <col min="15617" max="15617" width="20.19921875" style="36" customWidth="1"/>
    <col min="15618" max="15624" width="18.09765625" style="36" customWidth="1"/>
    <col min="15625" max="15625" width="9.3984375" style="36" customWidth="1"/>
    <col min="15626" max="15626" width="11.8984375" style="36" customWidth="1"/>
    <col min="15627" max="15870" width="7.8984375" style="36"/>
    <col min="15871" max="15871" width="8.5" style="36" customWidth="1"/>
    <col min="15872" max="15872" width="57.8984375" style="36" customWidth="1"/>
    <col min="15873" max="15873" width="20.19921875" style="36" customWidth="1"/>
    <col min="15874" max="15880" width="18.09765625" style="36" customWidth="1"/>
    <col min="15881" max="15881" width="9.3984375" style="36" customWidth="1"/>
    <col min="15882" max="15882" width="11.8984375" style="36" customWidth="1"/>
    <col min="15883" max="16126" width="7.8984375" style="36"/>
    <col min="16127" max="16127" width="8.5" style="36" customWidth="1"/>
    <col min="16128" max="16128" width="57.8984375" style="36" customWidth="1"/>
    <col min="16129" max="16129" width="20.19921875" style="36" customWidth="1"/>
    <col min="16130" max="16136" width="18.09765625" style="36" customWidth="1"/>
    <col min="16137" max="16137" width="9.3984375" style="36" customWidth="1"/>
    <col min="16138" max="16138" width="11.8984375" style="36" customWidth="1"/>
    <col min="16139" max="16384" width="7.8984375" style="36"/>
  </cols>
  <sheetData>
    <row r="1" spans="1:10" s="26" customFormat="1" ht="15" customHeight="1" x14ac:dyDescent="0.25">
      <c r="A1" s="179"/>
      <c r="B1" s="179"/>
      <c r="C1" s="179"/>
      <c r="D1" s="400"/>
      <c r="E1" s="400"/>
      <c r="F1" s="400"/>
      <c r="G1" s="400"/>
      <c r="H1" s="400"/>
      <c r="I1" s="179"/>
    </row>
    <row r="2" spans="1:10" s="26" customFormat="1" ht="15" customHeight="1" x14ac:dyDescent="0.25">
      <c r="A2" s="180"/>
      <c r="B2" s="180"/>
      <c r="C2" s="401" t="str">
        <f>INSTRUÇÕES!A2</f>
        <v>PROCURADORIA GERAL DA REPÚBLICA</v>
      </c>
      <c r="D2" s="401"/>
      <c r="E2" s="401"/>
      <c r="F2" s="401"/>
      <c r="G2" s="401"/>
      <c r="H2" s="401"/>
      <c r="I2" s="180"/>
    </row>
    <row r="3" spans="1:10" s="26" customFormat="1" ht="15" customHeight="1" x14ac:dyDescent="0.25">
      <c r="A3" s="180"/>
      <c r="B3" s="180"/>
      <c r="C3" s="401" t="str">
        <f>INSTRUÇÕES!A3</f>
        <v>SECRETARIA DE ENGENHARIA E ARQUITETURA</v>
      </c>
      <c r="D3" s="401"/>
      <c r="E3" s="401"/>
      <c r="F3" s="401"/>
      <c r="G3" s="401"/>
      <c r="H3" s="401"/>
      <c r="I3" s="180"/>
    </row>
    <row r="4" spans="1:10" s="26" customFormat="1" ht="15" customHeight="1" x14ac:dyDescent="0.25">
      <c r="A4" s="180"/>
      <c r="B4" s="180"/>
      <c r="C4" s="180"/>
      <c r="D4" s="401"/>
      <c r="E4" s="401"/>
      <c r="F4" s="401"/>
      <c r="G4" s="401"/>
      <c r="H4" s="401"/>
      <c r="I4" s="180"/>
    </row>
    <row r="5" spans="1:10" s="210" customFormat="1" ht="15" customHeight="1" x14ac:dyDescent="0.25">
      <c r="A5" s="209"/>
      <c r="B5" s="209"/>
      <c r="C5" s="402" t="str">
        <f>INSTRUÇÕES!A6</f>
        <v>OBRA: SFCR DA ESMPU - 2021</v>
      </c>
      <c r="D5" s="402"/>
      <c r="E5" s="402"/>
      <c r="F5" s="402"/>
      <c r="G5" s="402"/>
      <c r="H5" s="402"/>
      <c r="I5" s="209"/>
    </row>
    <row r="6" spans="1:10" s="210" customFormat="1" ht="30" customHeight="1" x14ac:dyDescent="0.25">
      <c r="A6" s="211"/>
      <c r="B6" s="211"/>
      <c r="C6" s="406" t="s">
        <v>184</v>
      </c>
      <c r="D6" s="406"/>
      <c r="E6" s="406"/>
      <c r="F6" s="406"/>
      <c r="G6" s="406"/>
      <c r="H6" s="406"/>
      <c r="I6" s="211"/>
    </row>
    <row r="7" spans="1:10" s="210" customFormat="1" ht="18" customHeight="1" x14ac:dyDescent="0.25">
      <c r="A7" s="211"/>
      <c r="B7" s="211"/>
      <c r="C7" s="211"/>
      <c r="D7" s="211"/>
      <c r="E7" s="211"/>
      <c r="F7" s="211"/>
      <c r="G7" s="211"/>
      <c r="H7" s="211"/>
      <c r="I7" s="211"/>
    </row>
    <row r="8" spans="1:10" s="31" customFormat="1" ht="45" customHeight="1" x14ac:dyDescent="0.25">
      <c r="A8" s="27" t="s">
        <v>153</v>
      </c>
      <c r="B8" s="28" t="s">
        <v>154</v>
      </c>
      <c r="C8" s="29" t="s">
        <v>155</v>
      </c>
      <c r="D8" s="30" t="s">
        <v>156</v>
      </c>
      <c r="E8" s="30" t="s">
        <v>157</v>
      </c>
      <c r="F8" s="30" t="s">
        <v>158</v>
      </c>
      <c r="G8" s="30" t="s">
        <v>159</v>
      </c>
      <c r="H8" s="30" t="s">
        <v>160</v>
      </c>
      <c r="I8" s="30" t="s">
        <v>161</v>
      </c>
    </row>
    <row r="9" spans="1:10" s="31" customFormat="1" ht="30" customHeight="1" x14ac:dyDescent="0.25">
      <c r="A9" s="403" t="s">
        <v>162</v>
      </c>
      <c r="B9" s="404" t="str">
        <f>SINTÉTICA!D14</f>
        <v>SERVIÇOS PRELIMINARES</v>
      </c>
      <c r="C9" s="405">
        <f>SINTÉTICA!I14</f>
        <v>3206.77</v>
      </c>
      <c r="D9" s="32">
        <f t="shared" ref="D9:H9" si="0">$C9*D10</f>
        <v>629.4</v>
      </c>
      <c r="E9" s="32">
        <f t="shared" si="0"/>
        <v>0</v>
      </c>
      <c r="F9" s="32">
        <f t="shared" si="0"/>
        <v>1505.2249999999999</v>
      </c>
      <c r="G9" s="32">
        <f t="shared" si="0"/>
        <v>1072.145</v>
      </c>
      <c r="H9" s="32">
        <f t="shared" si="0"/>
        <v>0</v>
      </c>
      <c r="I9" s="33">
        <f t="shared" ref="I9:I14" si="1">SUM(D9:H9)</f>
        <v>3206.77</v>
      </c>
      <c r="J9" s="34"/>
    </row>
    <row r="10" spans="1:10" s="31" customFormat="1" ht="30" customHeight="1" x14ac:dyDescent="0.25">
      <c r="A10" s="403"/>
      <c r="B10" s="404"/>
      <c r="C10" s="405"/>
      <c r="D10" s="107">
        <f>(629.4)/3206.77</f>
        <v>0.19627226149677088</v>
      </c>
      <c r="E10" s="107">
        <v>0</v>
      </c>
      <c r="F10" s="107">
        <f>(558.58+1027.13/2+433.08)/3206.77</f>
        <v>0.46938975978944542</v>
      </c>
      <c r="G10" s="107">
        <f>(558.58+1027.13/2)/3206.77</f>
        <v>0.33433797871378362</v>
      </c>
      <c r="H10" s="107">
        <v>0</v>
      </c>
      <c r="I10" s="35">
        <f t="shared" si="1"/>
        <v>1</v>
      </c>
      <c r="J10" s="34"/>
    </row>
    <row r="11" spans="1:10" ht="30" customHeight="1" x14ac:dyDescent="0.25">
      <c r="A11" s="403" t="s">
        <v>163</v>
      </c>
      <c r="B11" s="404" t="str">
        <f>SINTÉTICA!D22</f>
        <v>SISTEMA FOTOVOLTAICO CONECTADO À REDE</v>
      </c>
      <c r="C11" s="405">
        <f>SINTÉTICA!I22</f>
        <v>371404.81000000006</v>
      </c>
      <c r="D11" s="32">
        <f t="shared" ref="D11:H11" si="2">$C11*D12</f>
        <v>0</v>
      </c>
      <c r="E11" s="32">
        <f t="shared" si="2"/>
        <v>4018.9286668515942</v>
      </c>
      <c r="F11" s="32">
        <f t="shared" si="2"/>
        <v>181173.23702066558</v>
      </c>
      <c r="G11" s="32">
        <f t="shared" si="2"/>
        <v>175924.89818167358</v>
      </c>
      <c r="H11" s="32">
        <f t="shared" si="2"/>
        <v>10287.746130809273</v>
      </c>
      <c r="I11" s="33">
        <f t="shared" si="1"/>
        <v>371404.81</v>
      </c>
      <c r="J11" s="34"/>
    </row>
    <row r="12" spans="1:10" s="37" customFormat="1" ht="30" customHeight="1" x14ac:dyDescent="0.25">
      <c r="A12" s="403"/>
      <c r="B12" s="404"/>
      <c r="C12" s="405"/>
      <c r="D12" s="107">
        <v>0</v>
      </c>
      <c r="E12" s="107">
        <f>(4014.09)/370957.65</f>
        <v>1.0820884809896764E-2</v>
      </c>
      <c r="F12" s="107">
        <f>(159339.49+232.08*8+14826.86+20.47*120+2475.72)/370957.65</f>
        <v>0.48780530607739181</v>
      </c>
      <c r="G12" s="107">
        <f>(159339.49+232.08*8+20.47*120+9330.77+2729.79)/370957.65</f>
        <v>0.47367425904277749</v>
      </c>
      <c r="H12" s="107">
        <f>(1809.83+6100.41+2069.51+42.23*7)/370957.65</f>
        <v>2.7699550069933857E-2</v>
      </c>
      <c r="I12" s="35">
        <f t="shared" si="1"/>
        <v>0.99999999999999989</v>
      </c>
      <c r="J12" s="34"/>
    </row>
    <row r="13" spans="1:10" s="37" customFormat="1" ht="30" customHeight="1" x14ac:dyDescent="0.25">
      <c r="A13" s="403" t="s">
        <v>260</v>
      </c>
      <c r="B13" s="404" t="str">
        <f>SINTÉTICA!D50</f>
        <v>ADMINISTRAÇÃO DE OBRA</v>
      </c>
      <c r="C13" s="405">
        <f>SINTÉTICA!I50</f>
        <v>21571.200000000001</v>
      </c>
      <c r="D13" s="32">
        <f t="shared" ref="D13:H13" si="3">$C13*D14</f>
        <v>36.242641725063592</v>
      </c>
      <c r="E13" s="32">
        <f t="shared" si="3"/>
        <v>231.42134062804223</v>
      </c>
      <c r="F13" s="32">
        <f t="shared" si="3"/>
        <v>10519.145296950461</v>
      </c>
      <c r="G13" s="32">
        <f t="shared" si="3"/>
        <v>10191.993044850658</v>
      </c>
      <c r="H13" s="32">
        <f t="shared" si="3"/>
        <v>592.39767584577328</v>
      </c>
      <c r="I13" s="33">
        <f t="shared" si="1"/>
        <v>21571.199999999997</v>
      </c>
      <c r="J13" s="34"/>
    </row>
    <row r="14" spans="1:10" s="37" customFormat="1" ht="30" customHeight="1" x14ac:dyDescent="0.25">
      <c r="A14" s="403"/>
      <c r="B14" s="404"/>
      <c r="C14" s="405"/>
      <c r="D14" s="38">
        <f>SUM(D9,D11)/($C$18-$C$13)</f>
        <v>1.6801402668865705E-3</v>
      </c>
      <c r="E14" s="38">
        <f t="shared" ref="E14:H14" si="4">SUM(E9,E11)/($C$18-$C$13)</f>
        <v>1.0728255295395816E-2</v>
      </c>
      <c r="F14" s="38">
        <f t="shared" si="4"/>
        <v>0.48764766433719309</v>
      </c>
      <c r="G14" s="38">
        <f t="shared" si="4"/>
        <v>0.47248150519445642</v>
      </c>
      <c r="H14" s="38">
        <f t="shared" si="4"/>
        <v>2.7462434906067965E-2</v>
      </c>
      <c r="I14" s="35">
        <f t="shared" si="1"/>
        <v>0.99999999999999978</v>
      </c>
      <c r="J14" s="34"/>
    </row>
    <row r="15" spans="1:10" s="37" customFormat="1" ht="30" customHeight="1" x14ac:dyDescent="0.25">
      <c r="A15" s="398"/>
      <c r="B15" s="398"/>
      <c r="C15" s="398"/>
      <c r="D15" s="398"/>
      <c r="E15" s="398"/>
      <c r="F15" s="398"/>
      <c r="G15" s="398"/>
      <c r="H15" s="398"/>
      <c r="I15" s="398"/>
      <c r="J15" s="34"/>
    </row>
    <row r="16" spans="1:10" ht="30" customHeight="1" x14ac:dyDescent="0.25">
      <c r="A16" s="393"/>
      <c r="B16" s="395" t="s">
        <v>164</v>
      </c>
      <c r="C16" s="399"/>
      <c r="D16" s="39">
        <f>SUM(D9,D11,,D13)</f>
        <v>665.64264172506353</v>
      </c>
      <c r="E16" s="39">
        <f t="shared" ref="E16:H16" si="5">SUM(E9,E11,,E13)</f>
        <v>4250.3500074796366</v>
      </c>
      <c r="F16" s="39">
        <f t="shared" si="5"/>
        <v>193197.60731761606</v>
      </c>
      <c r="G16" s="39">
        <f t="shared" si="5"/>
        <v>187189.03622652421</v>
      </c>
      <c r="H16" s="39">
        <f t="shared" si="5"/>
        <v>10880.143806655047</v>
      </c>
      <c r="I16" s="39">
        <f>SUM(D16:H16)</f>
        <v>396182.78</v>
      </c>
      <c r="J16" s="40"/>
    </row>
    <row r="17" spans="1:9" ht="30" customHeight="1" x14ac:dyDescent="0.25">
      <c r="A17" s="393"/>
      <c r="B17" s="395"/>
      <c r="C17" s="399"/>
      <c r="D17" s="41">
        <f t="shared" ref="D17:G17" si="6">D16/$C18</f>
        <v>1.6801402668865702E-3</v>
      </c>
      <c r="E17" s="41">
        <f t="shared" si="6"/>
        <v>1.0728255295395816E-2</v>
      </c>
      <c r="F17" s="41">
        <f t="shared" si="6"/>
        <v>0.48764766433719309</v>
      </c>
      <c r="G17" s="41">
        <f t="shared" si="6"/>
        <v>0.47248150519445642</v>
      </c>
      <c r="H17" s="41">
        <f t="shared" ref="H17" si="7">H16/$C18</f>
        <v>2.7462434906067965E-2</v>
      </c>
      <c r="I17" s="42">
        <f>I16/C18</f>
        <v>0.99999999999999989</v>
      </c>
    </row>
    <row r="18" spans="1:9" s="44" customFormat="1" ht="30" customHeight="1" x14ac:dyDescent="0.25">
      <c r="A18" s="392"/>
      <c r="B18" s="394" t="s">
        <v>165</v>
      </c>
      <c r="C18" s="396">
        <f>SUM(C9:C14)</f>
        <v>396182.78000000009</v>
      </c>
      <c r="D18" s="43">
        <f>D16</f>
        <v>665.64264172506353</v>
      </c>
      <c r="E18" s="43">
        <f>D18+E16</f>
        <v>4915.9926492046998</v>
      </c>
      <c r="F18" s="43">
        <f t="shared" ref="F18:G18" si="8">E18+F16</f>
        <v>198113.59996682077</v>
      </c>
      <c r="G18" s="43">
        <f t="shared" si="8"/>
        <v>385302.63619334495</v>
      </c>
      <c r="H18" s="43">
        <f t="shared" ref="H18" si="9">G18+H16</f>
        <v>396182.78</v>
      </c>
      <c r="I18" s="43">
        <f>H18</f>
        <v>396182.78</v>
      </c>
    </row>
    <row r="19" spans="1:9" ht="30" customHeight="1" x14ac:dyDescent="0.25">
      <c r="A19" s="393"/>
      <c r="B19" s="395"/>
      <c r="C19" s="397"/>
      <c r="D19" s="41">
        <f>(D18/$C$18)</f>
        <v>1.6801402668865702E-3</v>
      </c>
      <c r="E19" s="41">
        <f>(E18)/$C18</f>
        <v>1.2408395562282386E-2</v>
      </c>
      <c r="F19" s="41">
        <f t="shared" ref="F19:G19" si="10">(F18)/$C18</f>
        <v>0.50005605989947555</v>
      </c>
      <c r="G19" s="41">
        <f t="shared" si="10"/>
        <v>0.97253756509393186</v>
      </c>
      <c r="H19" s="41">
        <f t="shared" ref="H19" si="11">(H18)/$C18</f>
        <v>0.99999999999999989</v>
      </c>
      <c r="I19" s="42">
        <f>H19</f>
        <v>0.99999999999999989</v>
      </c>
    </row>
    <row r="20" spans="1:9" x14ac:dyDescent="0.25">
      <c r="B20" s="46"/>
      <c r="C20" s="47"/>
      <c r="D20" s="48"/>
      <c r="E20" s="48"/>
      <c r="F20" s="48"/>
      <c r="G20" s="48"/>
      <c r="H20" s="48"/>
      <c r="I20" s="48"/>
    </row>
    <row r="21" spans="1:9" x14ac:dyDescent="0.25">
      <c r="B21" s="46"/>
      <c r="C21" s="46"/>
      <c r="D21" s="46"/>
    </row>
    <row r="23" spans="1:9" x14ac:dyDescent="0.25">
      <c r="I23" s="51"/>
    </row>
    <row r="24" spans="1:9" s="54" customFormat="1" x14ac:dyDescent="0.25">
      <c r="A24" s="45"/>
      <c r="B24" s="52"/>
      <c r="C24" s="53"/>
      <c r="D24" s="53"/>
      <c r="E24" s="53"/>
      <c r="F24" s="53"/>
      <c r="G24" s="53"/>
      <c r="H24" s="53"/>
      <c r="I24" s="51"/>
    </row>
    <row r="25" spans="1:9" x14ac:dyDescent="0.25">
      <c r="I25" s="51"/>
    </row>
  </sheetData>
  <sheetProtection algorithmName="SHA-512" hashValue="YqAyDUdbKoWQsk7OHZXRpY6ULtxatinVOiip+eG7SLyopEyVeZK+xs/nhRShtqjkaWgSuMVuuFIVZOA0oINpiA==" saltValue="ca/MH4F4z/7fy1Rauw8ETQ==" spinCount="100000" sheet="1" objects="1" scenarios="1"/>
  <mergeCells count="22">
    <mergeCell ref="A13:A14"/>
    <mergeCell ref="B13:B14"/>
    <mergeCell ref="C13:C14"/>
    <mergeCell ref="C6:H6"/>
    <mergeCell ref="C11:C12"/>
    <mergeCell ref="A9:A10"/>
    <mergeCell ref="B9:B10"/>
    <mergeCell ref="C9:C10"/>
    <mergeCell ref="A11:A12"/>
    <mergeCell ref="B11:B12"/>
    <mergeCell ref="D1:H1"/>
    <mergeCell ref="D4:H4"/>
    <mergeCell ref="C2:H2"/>
    <mergeCell ref="C3:H3"/>
    <mergeCell ref="C5:H5"/>
    <mergeCell ref="A18:A19"/>
    <mergeCell ref="B18:B19"/>
    <mergeCell ref="C18:C19"/>
    <mergeCell ref="A15:I15"/>
    <mergeCell ref="A16:A17"/>
    <mergeCell ref="B16:B17"/>
    <mergeCell ref="C16:C17"/>
  </mergeCells>
  <conditionalFormatting sqref="D13:H13 D9:H9 D11:H11">
    <cfRule type="cellIs" dxfId="0" priority="25" operator="notEqual">
      <formula>0</formula>
    </cfRule>
  </conditionalFormatting>
  <pageMargins left="0.78740157480314965" right="0.78740157480314965" top="0.78740157480314965" bottom="0.78740157480314965" header="0.31496062992125984" footer="0.51181102362204722"/>
  <pageSetup paperSize="9" scale="40" fitToWidth="0" fitToHeight="2" orientation="landscape" r:id="rId1"/>
  <headerFooter>
    <oddFooter>&amp;R&amp;P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"/>
  <dimension ref="A1:F46"/>
  <sheetViews>
    <sheetView view="pageBreakPreview" topLeftCell="A13" zoomScaleNormal="100" zoomScaleSheetLayoutView="100" workbookViewId="0">
      <selection activeCell="B42" sqref="B42"/>
    </sheetView>
  </sheetViews>
  <sheetFormatPr defaultColWidth="9" defaultRowHeight="13.2" x14ac:dyDescent="0.25"/>
  <cols>
    <col min="1" max="1" width="8" style="124" customWidth="1"/>
    <col min="2" max="2" width="44.09765625" style="125" customWidth="1"/>
    <col min="3" max="6" width="12.5" style="124" customWidth="1"/>
    <col min="7" max="16384" width="9" style="124"/>
  </cols>
  <sheetData>
    <row r="1" spans="1:6" s="123" customFormat="1" ht="13.8" x14ac:dyDescent="0.25">
      <c r="A1" s="415"/>
      <c r="B1" s="415"/>
      <c r="C1" s="415"/>
      <c r="D1" s="415"/>
      <c r="E1" s="415"/>
      <c r="F1" s="415"/>
    </row>
    <row r="2" spans="1:6" s="123" customFormat="1" ht="13.8" x14ac:dyDescent="0.25">
      <c r="A2" s="416" t="s">
        <v>127</v>
      </c>
      <c r="B2" s="416"/>
      <c r="C2" s="416"/>
      <c r="D2" s="416"/>
      <c r="E2" s="416"/>
      <c r="F2" s="416"/>
    </row>
    <row r="3" spans="1:6" s="123" customFormat="1" ht="13.8" x14ac:dyDescent="0.25">
      <c r="A3" s="416" t="s">
        <v>128</v>
      </c>
      <c r="B3" s="416"/>
      <c r="C3" s="416"/>
      <c r="D3" s="416"/>
      <c r="E3" s="416"/>
      <c r="F3" s="416"/>
    </row>
    <row r="4" spans="1:6" s="123" customFormat="1" ht="13.8" x14ac:dyDescent="0.25">
      <c r="A4" s="415"/>
      <c r="B4" s="415"/>
      <c r="C4" s="415"/>
      <c r="D4" s="415"/>
      <c r="E4" s="415"/>
      <c r="F4" s="415"/>
    </row>
    <row r="5" spans="1:6" s="123" customFormat="1" ht="13.8" x14ac:dyDescent="0.25">
      <c r="A5" s="417" t="str">
        <f>INSTRUÇÕES!A6</f>
        <v>OBRA: SFCR DA ESMPU - 2021</v>
      </c>
      <c r="B5" s="417"/>
      <c r="C5" s="417"/>
      <c r="D5" s="417"/>
      <c r="E5" s="417"/>
      <c r="F5" s="417"/>
    </row>
    <row r="6" spans="1:6" s="123" customFormat="1" ht="13.8" x14ac:dyDescent="0.25">
      <c r="A6" s="414" t="s">
        <v>193</v>
      </c>
      <c r="B6" s="414"/>
      <c r="C6" s="414"/>
      <c r="D6" s="414"/>
      <c r="E6" s="414"/>
      <c r="F6" s="414"/>
    </row>
    <row r="7" spans="1:6" s="123" customFormat="1" ht="13.8" x14ac:dyDescent="0.25">
      <c r="A7" s="408" t="str">
        <f>SINTÉTICA!E10</f>
        <v>REFERÊNCIA: SINAPI - DF - 06/21 (NÃO DESONERADA)</v>
      </c>
      <c r="B7" s="408"/>
      <c r="C7" s="408"/>
      <c r="D7" s="408"/>
      <c r="E7" s="408"/>
      <c r="F7" s="408"/>
    </row>
    <row r="8" spans="1:6" x14ac:dyDescent="0.25">
      <c r="A8" s="409"/>
      <c r="B8" s="409"/>
      <c r="C8" s="409"/>
      <c r="D8" s="409"/>
      <c r="E8" s="409"/>
      <c r="F8" s="409"/>
    </row>
    <row r="9" spans="1:6" s="125" customFormat="1" x14ac:dyDescent="0.25">
      <c r="A9" s="410" t="s">
        <v>166</v>
      </c>
      <c r="B9" s="410" t="s">
        <v>154</v>
      </c>
      <c r="C9" s="411" t="s">
        <v>194</v>
      </c>
      <c r="D9" s="411"/>
      <c r="E9" s="411" t="s">
        <v>195</v>
      </c>
      <c r="F9" s="411"/>
    </row>
    <row r="10" spans="1:6" s="125" customFormat="1" ht="26.4" x14ac:dyDescent="0.25">
      <c r="A10" s="410"/>
      <c r="B10" s="410"/>
      <c r="C10" s="126" t="s">
        <v>196</v>
      </c>
      <c r="D10" s="126" t="s">
        <v>197</v>
      </c>
      <c r="E10" s="126" t="s">
        <v>196</v>
      </c>
      <c r="F10" s="126" t="s">
        <v>197</v>
      </c>
    </row>
    <row r="11" spans="1:6" x14ac:dyDescent="0.25">
      <c r="A11" s="412" t="s">
        <v>198</v>
      </c>
      <c r="B11" s="412"/>
      <c r="C11" s="412"/>
      <c r="D11" s="412"/>
      <c r="E11" s="412"/>
      <c r="F11" s="412"/>
    </row>
    <row r="12" spans="1:6" x14ac:dyDescent="0.25">
      <c r="A12" s="127" t="s">
        <v>199</v>
      </c>
      <c r="B12" s="128" t="s">
        <v>200</v>
      </c>
      <c r="C12" s="129">
        <v>0</v>
      </c>
      <c r="D12" s="129">
        <v>0</v>
      </c>
      <c r="E12" s="129">
        <v>0.2</v>
      </c>
      <c r="F12" s="129">
        <v>0.2</v>
      </c>
    </row>
    <row r="13" spans="1:6" x14ac:dyDescent="0.25">
      <c r="A13" s="127" t="s">
        <v>201</v>
      </c>
      <c r="B13" s="128" t="s">
        <v>202</v>
      </c>
      <c r="C13" s="129">
        <v>1.4999999999999999E-2</v>
      </c>
      <c r="D13" s="129">
        <v>1.4999999999999999E-2</v>
      </c>
      <c r="E13" s="129">
        <v>1.4999999999999999E-2</v>
      </c>
      <c r="F13" s="129">
        <v>1.4999999999999999E-2</v>
      </c>
    </row>
    <row r="14" spans="1:6" x14ac:dyDescent="0.25">
      <c r="A14" s="127" t="s">
        <v>203</v>
      </c>
      <c r="B14" s="128" t="s">
        <v>204</v>
      </c>
      <c r="C14" s="129">
        <v>0.01</v>
      </c>
      <c r="D14" s="129">
        <v>0.01</v>
      </c>
      <c r="E14" s="129">
        <v>0.01</v>
      </c>
      <c r="F14" s="129">
        <v>0.01</v>
      </c>
    </row>
    <row r="15" spans="1:6" x14ac:dyDescent="0.25">
      <c r="A15" s="127" t="s">
        <v>205</v>
      </c>
      <c r="B15" s="128" t="s">
        <v>206</v>
      </c>
      <c r="C15" s="129">
        <v>2E-3</v>
      </c>
      <c r="D15" s="129">
        <v>2E-3</v>
      </c>
      <c r="E15" s="129">
        <v>2E-3</v>
      </c>
      <c r="F15" s="129">
        <v>2E-3</v>
      </c>
    </row>
    <row r="16" spans="1:6" x14ac:dyDescent="0.25">
      <c r="A16" s="127" t="s">
        <v>207</v>
      </c>
      <c r="B16" s="128" t="s">
        <v>208</v>
      </c>
      <c r="C16" s="129">
        <v>6.0000000000000001E-3</v>
      </c>
      <c r="D16" s="129">
        <v>6.0000000000000001E-3</v>
      </c>
      <c r="E16" s="129">
        <v>6.0000000000000001E-3</v>
      </c>
      <c r="F16" s="129">
        <v>6.0000000000000001E-3</v>
      </c>
    </row>
    <row r="17" spans="1:6" x14ac:dyDescent="0.25">
      <c r="A17" s="127" t="s">
        <v>209</v>
      </c>
      <c r="B17" s="128" t="s">
        <v>210</v>
      </c>
      <c r="C17" s="129">
        <v>2.5000000000000001E-2</v>
      </c>
      <c r="D17" s="129">
        <v>2.5000000000000001E-2</v>
      </c>
      <c r="E17" s="129">
        <v>2.5000000000000001E-2</v>
      </c>
      <c r="F17" s="129">
        <v>2.5000000000000001E-2</v>
      </c>
    </row>
    <row r="18" spans="1:6" x14ac:dyDescent="0.25">
      <c r="A18" s="127" t="s">
        <v>211</v>
      </c>
      <c r="B18" s="128" t="s">
        <v>212</v>
      </c>
      <c r="C18" s="129">
        <v>0.03</v>
      </c>
      <c r="D18" s="129">
        <v>0.03</v>
      </c>
      <c r="E18" s="129">
        <v>0.03</v>
      </c>
      <c r="F18" s="129">
        <v>0.03</v>
      </c>
    </row>
    <row r="19" spans="1:6" x14ac:dyDescent="0.25">
      <c r="A19" s="127" t="s">
        <v>213</v>
      </c>
      <c r="B19" s="128" t="s">
        <v>214</v>
      </c>
      <c r="C19" s="129">
        <v>0.08</v>
      </c>
      <c r="D19" s="129">
        <v>0.08</v>
      </c>
      <c r="E19" s="129">
        <v>0.08</v>
      </c>
      <c r="F19" s="129">
        <v>0.08</v>
      </c>
    </row>
    <row r="20" spans="1:6" x14ac:dyDescent="0.25">
      <c r="A20" s="127" t="s">
        <v>215</v>
      </c>
      <c r="B20" s="128" t="s">
        <v>216</v>
      </c>
      <c r="C20" s="129">
        <v>0.01</v>
      </c>
      <c r="D20" s="129">
        <v>0.01</v>
      </c>
      <c r="E20" s="129">
        <v>0.01</v>
      </c>
      <c r="F20" s="129">
        <v>0.01</v>
      </c>
    </row>
    <row r="21" spans="1:6" x14ac:dyDescent="0.25">
      <c r="A21" s="130" t="s">
        <v>217</v>
      </c>
      <c r="B21" s="131" t="s">
        <v>7</v>
      </c>
      <c r="C21" s="132">
        <f>SUM(C12:C20)</f>
        <v>0.17799999999999999</v>
      </c>
      <c r="D21" s="132">
        <f t="shared" ref="D21:F21" si="0">SUM(D12:D20)</f>
        <v>0.17799999999999999</v>
      </c>
      <c r="E21" s="132">
        <f t="shared" si="0"/>
        <v>0.37800000000000006</v>
      </c>
      <c r="F21" s="132">
        <f t="shared" si="0"/>
        <v>0.37800000000000006</v>
      </c>
    </row>
    <row r="22" spans="1:6" x14ac:dyDescent="0.25">
      <c r="A22" s="412" t="s">
        <v>218</v>
      </c>
      <c r="B22" s="412"/>
      <c r="C22" s="412"/>
      <c r="D22" s="412"/>
      <c r="E22" s="412"/>
      <c r="F22" s="412"/>
    </row>
    <row r="23" spans="1:6" x14ac:dyDescent="0.25">
      <c r="A23" s="127" t="s">
        <v>219</v>
      </c>
      <c r="B23" s="128" t="s">
        <v>220</v>
      </c>
      <c r="C23" s="129">
        <v>0.17749999999999999</v>
      </c>
      <c r="D23" s="133" t="s">
        <v>221</v>
      </c>
      <c r="E23" s="129">
        <v>0.17749999999999999</v>
      </c>
      <c r="F23" s="133" t="s">
        <v>221</v>
      </c>
    </row>
    <row r="24" spans="1:6" x14ac:dyDescent="0.25">
      <c r="A24" s="127" t="s">
        <v>222</v>
      </c>
      <c r="B24" s="128" t="s">
        <v>223</v>
      </c>
      <c r="C24" s="129">
        <v>3.4099999999999998E-2</v>
      </c>
      <c r="D24" s="133" t="s">
        <v>221</v>
      </c>
      <c r="E24" s="129">
        <v>3.4099999999999998E-2</v>
      </c>
      <c r="F24" s="133" t="s">
        <v>221</v>
      </c>
    </row>
    <row r="25" spans="1:6" x14ac:dyDescent="0.25">
      <c r="A25" s="127" t="s">
        <v>224</v>
      </c>
      <c r="B25" s="128" t="s">
        <v>225</v>
      </c>
      <c r="C25" s="129">
        <v>8.6E-3</v>
      </c>
      <c r="D25" s="129">
        <v>6.7000000000000002E-3</v>
      </c>
      <c r="E25" s="129">
        <v>8.6E-3</v>
      </c>
      <c r="F25" s="129">
        <v>6.7000000000000002E-3</v>
      </c>
    </row>
    <row r="26" spans="1:6" x14ac:dyDescent="0.25">
      <c r="A26" s="127" t="s">
        <v>226</v>
      </c>
      <c r="B26" s="128" t="s">
        <v>227</v>
      </c>
      <c r="C26" s="129">
        <v>0.1062</v>
      </c>
      <c r="D26" s="129">
        <v>8.3299999999999999E-2</v>
      </c>
      <c r="E26" s="129">
        <v>0.1062</v>
      </c>
      <c r="F26" s="129">
        <v>8.3299999999999999E-2</v>
      </c>
    </row>
    <row r="27" spans="1:6" x14ac:dyDescent="0.25">
      <c r="A27" s="127" t="s">
        <v>228</v>
      </c>
      <c r="B27" s="128" t="s">
        <v>229</v>
      </c>
      <c r="C27" s="129">
        <v>6.9999999999999999E-4</v>
      </c>
      <c r="D27" s="129">
        <v>5.9999999999999995E-4</v>
      </c>
      <c r="E27" s="129">
        <v>6.9999999999999999E-4</v>
      </c>
      <c r="F27" s="129">
        <v>5.9999999999999995E-4</v>
      </c>
    </row>
    <row r="28" spans="1:6" x14ac:dyDescent="0.25">
      <c r="A28" s="127" t="s">
        <v>230</v>
      </c>
      <c r="B28" s="128" t="s">
        <v>231</v>
      </c>
      <c r="C28" s="129">
        <v>7.1000000000000004E-3</v>
      </c>
      <c r="D28" s="129">
        <v>5.5999999999999999E-3</v>
      </c>
      <c r="E28" s="129">
        <v>7.1000000000000004E-3</v>
      </c>
      <c r="F28" s="129">
        <v>5.5999999999999999E-3</v>
      </c>
    </row>
    <row r="29" spans="1:6" x14ac:dyDescent="0.25">
      <c r="A29" s="127" t="s">
        <v>232</v>
      </c>
      <c r="B29" s="128" t="s">
        <v>233</v>
      </c>
      <c r="C29" s="129">
        <v>1.3100000000000001E-2</v>
      </c>
      <c r="D29" s="133" t="s">
        <v>221</v>
      </c>
      <c r="E29" s="129">
        <v>1.3100000000000001E-2</v>
      </c>
      <c r="F29" s="133" t="s">
        <v>221</v>
      </c>
    </row>
    <row r="30" spans="1:6" x14ac:dyDescent="0.25">
      <c r="A30" s="127" t="s">
        <v>234</v>
      </c>
      <c r="B30" s="128" t="s">
        <v>235</v>
      </c>
      <c r="C30" s="129">
        <v>1.1000000000000001E-3</v>
      </c>
      <c r="D30" s="129">
        <v>8.0000000000000004E-4</v>
      </c>
      <c r="E30" s="129">
        <v>1.1000000000000001E-3</v>
      </c>
      <c r="F30" s="129">
        <v>8.0000000000000004E-4</v>
      </c>
    </row>
    <row r="31" spans="1:6" x14ac:dyDescent="0.25">
      <c r="A31" s="127" t="s">
        <v>236</v>
      </c>
      <c r="B31" s="128" t="s">
        <v>237</v>
      </c>
      <c r="C31" s="129">
        <v>0.13550000000000001</v>
      </c>
      <c r="D31" s="129">
        <v>0.10630000000000001</v>
      </c>
      <c r="E31" s="129">
        <v>0.13550000000000001</v>
      </c>
      <c r="F31" s="129">
        <v>0.10630000000000001</v>
      </c>
    </row>
    <row r="32" spans="1:6" x14ac:dyDescent="0.25">
      <c r="A32" s="127" t="s">
        <v>238</v>
      </c>
      <c r="B32" s="128" t="s">
        <v>239</v>
      </c>
      <c r="C32" s="129">
        <v>2.9999999999999997E-4</v>
      </c>
      <c r="D32" s="129">
        <v>2.9999999999999997E-4</v>
      </c>
      <c r="E32" s="129">
        <v>2.9999999999999997E-4</v>
      </c>
      <c r="F32" s="129">
        <v>2.9999999999999997E-4</v>
      </c>
    </row>
    <row r="33" spans="1:6" x14ac:dyDescent="0.25">
      <c r="A33" s="130" t="s">
        <v>240</v>
      </c>
      <c r="B33" s="131" t="s">
        <v>7</v>
      </c>
      <c r="C33" s="132">
        <f>SUM(C23:C32)</f>
        <v>0.48419999999999996</v>
      </c>
      <c r="D33" s="132">
        <f t="shared" ref="D33:F33" si="1">SUM(D23:D32)</f>
        <v>0.20359999999999998</v>
      </c>
      <c r="E33" s="132">
        <f t="shared" si="1"/>
        <v>0.48419999999999996</v>
      </c>
      <c r="F33" s="132">
        <f t="shared" si="1"/>
        <v>0.20359999999999998</v>
      </c>
    </row>
    <row r="34" spans="1:6" x14ac:dyDescent="0.25">
      <c r="A34" s="412" t="s">
        <v>241</v>
      </c>
      <c r="B34" s="412"/>
      <c r="C34" s="412"/>
      <c r="D34" s="412"/>
      <c r="E34" s="412"/>
      <c r="F34" s="412"/>
    </row>
    <row r="35" spans="1:6" x14ac:dyDescent="0.25">
      <c r="A35" s="127" t="s">
        <v>242</v>
      </c>
      <c r="B35" s="128" t="s">
        <v>243</v>
      </c>
      <c r="C35" s="129">
        <v>4.1200000000000001E-2</v>
      </c>
      <c r="D35" s="129">
        <v>3.2399999999999998E-2</v>
      </c>
      <c r="E35" s="129">
        <v>4.1200000000000001E-2</v>
      </c>
      <c r="F35" s="129">
        <v>3.2399999999999998E-2</v>
      </c>
    </row>
    <row r="36" spans="1:6" x14ac:dyDescent="0.25">
      <c r="A36" s="127" t="s">
        <v>244</v>
      </c>
      <c r="B36" s="128" t="s">
        <v>245</v>
      </c>
      <c r="C36" s="129">
        <v>1E-3</v>
      </c>
      <c r="D36" s="129">
        <v>8.0000000000000004E-4</v>
      </c>
      <c r="E36" s="129">
        <v>1E-3</v>
      </c>
      <c r="F36" s="129">
        <v>8.0000000000000004E-4</v>
      </c>
    </row>
    <row r="37" spans="1:6" x14ac:dyDescent="0.25">
      <c r="A37" s="127" t="s">
        <v>246</v>
      </c>
      <c r="B37" s="128" t="s">
        <v>247</v>
      </c>
      <c r="C37" s="129">
        <v>4.5999999999999999E-3</v>
      </c>
      <c r="D37" s="129">
        <v>3.5999999999999999E-3</v>
      </c>
      <c r="E37" s="129">
        <v>4.5999999999999999E-3</v>
      </c>
      <c r="F37" s="129">
        <v>3.5999999999999999E-3</v>
      </c>
    </row>
    <row r="38" spans="1:6" x14ac:dyDescent="0.25">
      <c r="A38" s="127" t="s">
        <v>248</v>
      </c>
      <c r="B38" s="128" t="s">
        <v>249</v>
      </c>
      <c r="C38" s="129">
        <v>3.7699999999999997E-2</v>
      </c>
      <c r="D38" s="129">
        <v>2.9600000000000001E-2</v>
      </c>
      <c r="E38" s="129">
        <v>3.7699999999999997E-2</v>
      </c>
      <c r="F38" s="129">
        <v>2.9600000000000001E-2</v>
      </c>
    </row>
    <row r="39" spans="1:6" x14ac:dyDescent="0.25">
      <c r="A39" s="127" t="s">
        <v>250</v>
      </c>
      <c r="B39" s="128" t="s">
        <v>251</v>
      </c>
      <c r="C39" s="129">
        <v>3.5000000000000001E-3</v>
      </c>
      <c r="D39" s="129">
        <v>2.7000000000000001E-3</v>
      </c>
      <c r="E39" s="129">
        <v>3.5000000000000001E-3</v>
      </c>
      <c r="F39" s="129">
        <v>2.7000000000000001E-3</v>
      </c>
    </row>
    <row r="40" spans="1:6" x14ac:dyDescent="0.25">
      <c r="A40" s="130" t="s">
        <v>252</v>
      </c>
      <c r="B40" s="131" t="s">
        <v>7</v>
      </c>
      <c r="C40" s="132">
        <f>SUM(C35:C39)</f>
        <v>8.7999999999999995E-2</v>
      </c>
      <c r="D40" s="132">
        <f t="shared" ref="D40:F40" si="2">SUM(D35:D39)</f>
        <v>6.9099999999999995E-2</v>
      </c>
      <c r="E40" s="132">
        <f t="shared" si="2"/>
        <v>8.7999999999999995E-2</v>
      </c>
      <c r="F40" s="132">
        <f t="shared" si="2"/>
        <v>6.9099999999999995E-2</v>
      </c>
    </row>
    <row r="41" spans="1:6" x14ac:dyDescent="0.25">
      <c r="A41" s="412" t="s">
        <v>253</v>
      </c>
      <c r="B41" s="412"/>
      <c r="C41" s="412"/>
      <c r="D41" s="412"/>
      <c r="E41" s="412"/>
      <c r="F41" s="412"/>
    </row>
    <row r="42" spans="1:6" x14ac:dyDescent="0.25">
      <c r="A42" s="127" t="s">
        <v>254</v>
      </c>
      <c r="B42" s="128" t="s">
        <v>255</v>
      </c>
      <c r="C42" s="129">
        <v>8.6199999999999999E-2</v>
      </c>
      <c r="D42" s="129">
        <v>3.6200000000000003E-2</v>
      </c>
      <c r="E42" s="129">
        <v>0.183</v>
      </c>
      <c r="F42" s="129">
        <v>7.6999999999999999E-2</v>
      </c>
    </row>
    <row r="43" spans="1:6" ht="26.4" x14ac:dyDescent="0.25">
      <c r="A43" s="127" t="s">
        <v>256</v>
      </c>
      <c r="B43" s="128" t="s">
        <v>257</v>
      </c>
      <c r="C43" s="129">
        <v>3.5000000000000001E-3</v>
      </c>
      <c r="D43" s="129">
        <v>2.7000000000000001E-3</v>
      </c>
      <c r="E43" s="129">
        <v>3.7000000000000002E-3</v>
      </c>
      <c r="F43" s="129">
        <v>2.8999999999999998E-3</v>
      </c>
    </row>
    <row r="44" spans="1:6" x14ac:dyDescent="0.25">
      <c r="A44" s="130" t="s">
        <v>258</v>
      </c>
      <c r="B44" s="131" t="s">
        <v>7</v>
      </c>
      <c r="C44" s="132">
        <f>SUM(C42:C43)</f>
        <v>8.9700000000000002E-2</v>
      </c>
      <c r="D44" s="132">
        <f>SUM(D42:D43)</f>
        <v>3.8900000000000004E-2</v>
      </c>
      <c r="E44" s="132">
        <f>SUM(E42:E43)</f>
        <v>0.1867</v>
      </c>
      <c r="F44" s="132">
        <f>SUM(F42:F43)</f>
        <v>7.9899999999999999E-2</v>
      </c>
    </row>
    <row r="45" spans="1:6" x14ac:dyDescent="0.25">
      <c r="A45" s="413"/>
      <c r="B45" s="413"/>
      <c r="C45" s="413"/>
      <c r="D45" s="413"/>
      <c r="E45" s="413"/>
      <c r="F45" s="413"/>
    </row>
    <row r="46" spans="1:6" x14ac:dyDescent="0.25">
      <c r="A46" s="407" t="s">
        <v>259</v>
      </c>
      <c r="B46" s="407"/>
      <c r="C46" s="134">
        <f>SUM(C21,C33,C40,C44)</f>
        <v>0.83989999999999987</v>
      </c>
      <c r="D46" s="134">
        <f t="shared" ref="D46:F46" si="3">SUM(D21,D33,D40,D44)</f>
        <v>0.48959999999999992</v>
      </c>
      <c r="E46" s="134">
        <f t="shared" si="3"/>
        <v>1.1369</v>
      </c>
      <c r="F46" s="134">
        <f t="shared" si="3"/>
        <v>0.73060000000000003</v>
      </c>
    </row>
  </sheetData>
  <sheetProtection algorithmName="SHA-512" hashValue="Trx5X9lyLXcZHFI7dCsOUgaqi40UfXXVocHye3Wm9QHc7DVAUZQJl74+aqSpkdrUdKfGOiTH2zKHCp2JofLEAw==" saltValue="+g5gAF8OgAa0P27uskvbLQ==" spinCount="100000" sheet="1" objects="1" scenarios="1"/>
  <mergeCells count="18">
    <mergeCell ref="A6:F6"/>
    <mergeCell ref="A1:F1"/>
    <mergeCell ref="A2:F2"/>
    <mergeCell ref="A3:F3"/>
    <mergeCell ref="A4:F4"/>
    <mergeCell ref="A5:F5"/>
    <mergeCell ref="A46:B46"/>
    <mergeCell ref="A7:F7"/>
    <mergeCell ref="A8:F8"/>
    <mergeCell ref="A9:A10"/>
    <mergeCell ref="B9:B10"/>
    <mergeCell ref="C9:D9"/>
    <mergeCell ref="E9:F9"/>
    <mergeCell ref="A11:F11"/>
    <mergeCell ref="A22:F22"/>
    <mergeCell ref="A34:F34"/>
    <mergeCell ref="A41:F41"/>
    <mergeCell ref="A45:F45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INSTRUÇÕES</vt:lpstr>
      <vt:lpstr>SINTÉTICA</vt:lpstr>
      <vt:lpstr>ANALÍTICA</vt:lpstr>
      <vt:lpstr>ANALÍTICA AUXILIARES</vt:lpstr>
      <vt:lpstr>INSUMOS</vt:lpstr>
      <vt:lpstr>BDI</vt:lpstr>
      <vt:lpstr>CRONOGRAMA</vt:lpstr>
      <vt:lpstr>LEIS SOCIAIS</vt:lpstr>
      <vt:lpstr>ANALÍTICA!Area_de_impressao</vt:lpstr>
      <vt:lpstr>'ANALÍTICA AUXILIARES'!Area_de_impressao</vt:lpstr>
      <vt:lpstr>BDI!Area_de_impressao</vt:lpstr>
      <vt:lpstr>CRONOGRAMA!Area_de_impressao</vt:lpstr>
      <vt:lpstr>INSTRUÇÕES!Area_de_impressao</vt:lpstr>
      <vt:lpstr>INSUMOS!Area_de_impressao</vt:lpstr>
      <vt:lpstr>SINTÉTICA!Area_de_impressao</vt:lpstr>
      <vt:lpstr>ANALÍTICA!Titulos_de_impressao</vt:lpstr>
      <vt:lpstr>'ANALÍTICA AUXILIARES'!Titulos_de_impressao</vt:lpstr>
      <vt:lpstr>CRONOGRAMA!Titulos_de_impressao</vt:lpstr>
      <vt:lpstr>INSUMOS!Titulos_de_impressao</vt:lpstr>
      <vt:lpstr>SINTÉTICA!Titulos_de_impressao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Gabriel Augusto Buss</cp:lastModifiedBy>
  <cp:revision>0</cp:revision>
  <cp:lastPrinted>2021-08-19T13:46:01Z</cp:lastPrinted>
  <dcterms:created xsi:type="dcterms:W3CDTF">2019-09-02T19:42:34Z</dcterms:created>
  <dcterms:modified xsi:type="dcterms:W3CDTF">2021-08-19T14:07:40Z</dcterms:modified>
</cp:coreProperties>
</file>