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SA_CLCE\CLCE 2024\PREGÕES ELETRÔNICOS\PE 8 - Audiovideo\"/>
    </mc:Choice>
  </mc:AlternateContent>
  <xr:revisionPtr revIDLastSave="0" documentId="8_{A183BC2D-4221-4947-9C5D-4DF9FF4B21B9}" xr6:coauthVersionLast="47" xr6:coauthVersionMax="47" xr10:uidLastSave="{00000000-0000-0000-0000-000000000000}"/>
  <bookViews>
    <workbookView xWindow="-120" yWindow="-120" windowWidth="29040" windowHeight="15840" tabRatio="927" firstSheet="4" activeTab="4" xr2:uid="{00000000-000D-0000-FFFF-FFFF00000000}"/>
  </bookViews>
  <sheets>
    <sheet name="INSERÇÃO-DE-DADOS" sheetId="3" r:id="rId1"/>
    <sheet name="DADOS-ESTATISTICOS" sheetId="4" r:id="rId2"/>
    <sheet name="ENCARGOS-SOCIAIS-E-TRABALHISTAS" sheetId="5" r:id="rId3"/>
    <sheet name="OPERADOR DE MÍDIA AUDIOVISUAL" sheetId="6" r:id="rId4"/>
    <sheet name="CONSOLIDADO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xlfn_AGGREGATE">#N/A</definedName>
    <definedName name="_______xlfn_AVERAGEIF">#N/A</definedName>
    <definedName name="_______xlnm.Print_Area_1">#REF!</definedName>
    <definedName name="_______xlnm.Print_Area_2">#REF!</definedName>
    <definedName name="_______xlnm.Print_Area_3">#REF!</definedName>
    <definedName name="______BDI2">#REF!</definedName>
    <definedName name="______xlfn_AGGREGATE">#N/A</definedName>
    <definedName name="______xlfn_AVERAGEIF">#N/A</definedName>
    <definedName name="______xlnm.Print_Area_1">#REF!</definedName>
    <definedName name="______xlnm.Print_Area_2">#REF!</definedName>
    <definedName name="______xlnm.Print_Area_3">#REF!</definedName>
    <definedName name="_____BDI2">#REF!</definedName>
    <definedName name="_____xlfn_AGGREGATE">#N/A</definedName>
    <definedName name="_____xlfn_AVERAGEIF">#N/A</definedName>
    <definedName name="_____xlnm.Print_Area_1">#REF!</definedName>
    <definedName name="_____xlnm.Print_Area_2">#REF!</definedName>
    <definedName name="_____xlnm.Print_Area_3">#REF!</definedName>
    <definedName name="____BDI2">#REF!</definedName>
    <definedName name="____jkjkjkj1">#REF!</definedName>
    <definedName name="____xlfn_AGGREGATE">#N/A</definedName>
    <definedName name="____xlfn_AVERAGEIF">#N/A</definedName>
    <definedName name="____xlnm.Print_Area_1">#REF!</definedName>
    <definedName name="____xlnm.Print_Area_2">#REF!</definedName>
    <definedName name="____xlnm.Print_Area_3">#REF!</definedName>
    <definedName name="___BDI2">#REF!</definedName>
    <definedName name="___xlfn_AGGREGATE">#N/A</definedName>
    <definedName name="___xlfn_AVERAGEIF">#N/A</definedName>
    <definedName name="___xlnm.Print_Area_1">#REF!</definedName>
    <definedName name="___xlnm.Print_Area_2">#REF!</definedName>
    <definedName name="___xlnm.Print_Area_3">#REF!</definedName>
    <definedName name="___xlnm.Print_Area_4">#REF!</definedName>
    <definedName name="__BDI2">#REF!</definedName>
    <definedName name="__shared_1_0_0">#N/A</definedName>
    <definedName name="__shared_1_0_1">#N/A</definedName>
    <definedName name="__shared_2_0_0">#N/A</definedName>
    <definedName name="__shared_2_0_1">#N/A</definedName>
    <definedName name="__shared_3_0_0">#N/A</definedName>
    <definedName name="__shared_3_0_1">#N/A</definedName>
    <definedName name="__shared_4_0_0">#N/A</definedName>
    <definedName name="__shared_4_0_1">#N/A</definedName>
    <definedName name="__shared_5_0_0">#N/A</definedName>
    <definedName name="__shared_5_0_1">#N/A</definedName>
    <definedName name="__shared_6_0_0">#N/A</definedName>
    <definedName name="__shared_6_0_1">#N/A</definedName>
    <definedName name="__shared_7_0_0">#N/A</definedName>
    <definedName name="__shared_7_0_1">#N/A</definedName>
    <definedName name="__shared_7_0_2">#N/A</definedName>
    <definedName name="__shared_7_0_3">#N/A</definedName>
    <definedName name="__shared_7_0_4">#N/A</definedName>
    <definedName name="__shared_7_0_5">#N/A</definedName>
    <definedName name="__xlfn_AGGREGATE">#N/A</definedName>
    <definedName name="__xlfn_AVERAGEIF">#N/A</definedName>
    <definedName name="__xlnm.Print_Area_1">#REF!</definedName>
    <definedName name="__xlnm.Print_Area_2">#REF!</definedName>
    <definedName name="__xlnm.Print_Area_3">#REF!</definedName>
    <definedName name="_BDI2">#REF!</definedName>
    <definedName name="_ipi1">#REF!</definedName>
    <definedName name="_P1">#REF!</definedName>
    <definedName name="_P2">#REF!</definedName>
    <definedName name="A">#REF!</definedName>
    <definedName name="aaaa">#REF!</definedName>
    <definedName name="AAAsDAFDSAGFDSHG">#REF!</definedName>
    <definedName name="ACORDO_COLETIVO">'INSERÇÃO-DE-DADOS'!$F$14</definedName>
    <definedName name="ADIC_INSALUB_ENC">#REF!</definedName>
    <definedName name="ADIC_INSALUB_SERV">#REF!</definedName>
    <definedName name="ADIC_INSALUB_SERV_HOSP">#REF!</definedName>
    <definedName name="AL_1_A_SAL_BASE" localSheetId="3">'OPERADOR DE MÍDIA AUDIOVISUAL'!$F$22</definedName>
    <definedName name="AL_1_B_ADIC_PERIC" localSheetId="3">'OPERADOR DE MÍDIA AUDIOVISUAL'!$F$23</definedName>
    <definedName name="AL_1_C_ADIC_NOT" localSheetId="3">'OPERADOR DE MÍDIA AUDIOVISUAL'!$F$24</definedName>
    <definedName name="AL_1_C_OUTROS_REM_1_SERV">#REF!</definedName>
    <definedName name="AL_1_D_ADIC_NOT_RED" localSheetId="3">'OPERADOR DE MÍDIA AUDIOVISUAL'!$F$25</definedName>
    <definedName name="AL_1_D_OUTROS_REM_2_ENC">#REF!</definedName>
    <definedName name="AL_1_D_OUTROS_REM_2_SERV">#REF!</definedName>
    <definedName name="AL_1_E_OUTROS_REM_3_SERV">#REF!</definedName>
    <definedName name="AL_2_1_A_DEC_TERC" localSheetId="3">'OPERADOR DE MÍDIA AUDIOVISUAL'!$F$34</definedName>
    <definedName name="AL_2_1_B_ADIC_FERIAS" localSheetId="3">'OPERADOR DE MÍDIA AUDIOVISUAL'!$F$35</definedName>
    <definedName name="AL_2_2_FGTS" localSheetId="3">'OPERADOR DE MÍDIA AUDIOVISUAL'!$F$46</definedName>
    <definedName name="AL_2_3_A_TRANSP" localSheetId="3">'OPERADOR DE MÍDIA AUDIOVISUAL'!$F$50</definedName>
    <definedName name="AL_2_3_B_AUX_ALIMENT" localSheetId="3">'OPERADOR DE MÍDIA AUDIOVISUAL'!$F$51</definedName>
    <definedName name="AL_2_3_C_OUTROS_BENEF" localSheetId="3">'OPERADOR DE MÍDIA AUDIOVISUAL'!$F$52</definedName>
    <definedName name="AL_2_A_ATE_2_G_GPS" localSheetId="3">'OPERADOR DE MÍDIA AUDIOVISUAL'!$F$39:$F$45</definedName>
    <definedName name="AL_6_A_CUSTOS_INDIRETOS" localSheetId="3">'OPERADOR DE MÍDIA AUDIOVISUAL'!$F$88</definedName>
    <definedName name="AL_6_B_LUCRO" localSheetId="3">'OPERADOR DE MÍDIA AUDIOVISUAL'!$F$89</definedName>
    <definedName name="AL_6_C_1_PIS" localSheetId="3">'OPERADOR DE MÍDIA AUDIOVISUAL'!$F$91</definedName>
    <definedName name="AL_6_C_2_COFINS" localSheetId="3">'OPERADOR DE MÍDIA AUDIOVISUAL'!$F$92</definedName>
    <definedName name="AL_6_C_3_ISS" localSheetId="3">'OPERADOR DE MÍDIA AUDIOVISUAL'!$F$93</definedName>
    <definedName name="AL_6_C_TRIBUTOS" localSheetId="3">'OPERADOR DE MÍDIA AUDIOVISUAL'!$F$90</definedName>
    <definedName name="ALIMENTACAO_POR_DIA">'INSERÇÃO-DE-DADOS'!$F$42</definedName>
    <definedName name="ALMOXARIFE">#REF!</definedName>
    <definedName name="_xlnm.Print_Area" localSheetId="4">CONSOLIDADO!$C$3:$H$11</definedName>
    <definedName name="_xlnm.Print_Area" localSheetId="1">'DADOS-ESTATISTICOS'!$A$1:$F$42</definedName>
    <definedName name="_xlnm.Print_Area" localSheetId="2">'ENCARGOS-SOCIAIS-E-TRABALHISTAS'!$A$1:$F$34</definedName>
    <definedName name="_xlnm.Print_Area" localSheetId="0">'INSERÇÃO-DE-DADOS'!$A$1:$F$74</definedName>
    <definedName name="_xlnm.Print_Area" localSheetId="3">'OPERADOR DE MÍDIA AUDIOVISUAL'!$A$1:$F$105</definedName>
    <definedName name="_xlnm.Print_Area">#REF!</definedName>
    <definedName name="AREA_ESQ_EXTERNA_ANEXOS">#REF!</definedName>
    <definedName name="AREA_ESQ_EXTERNA_PTMS_PRMS">#REF!</definedName>
    <definedName name="AREA_ESQ_EXTERNA_SEDE">#REF!</definedName>
    <definedName name="AREA_ESQ_EXTERNA_TOTAL">#REF!</definedName>
    <definedName name="AREA_EXTERNA_ANEXOS">#REF!</definedName>
    <definedName name="AREA_EXTERNA_PTMS_PRMS">#REF!</definedName>
    <definedName name="AREA_EXTERNA_SEDE">#REF!</definedName>
    <definedName name="AREA_EXTERNA_TOTAL">#REF!</definedName>
    <definedName name="AREA_FACHADA_ENVID_ANEXOS">#REF!</definedName>
    <definedName name="AREA_FACHADA_ENVID_PTMS_PRMS">#REF!</definedName>
    <definedName name="AREA_FACHADA_ENVID_SEDE">#REF!</definedName>
    <definedName name="AREA_FACHADA_ENVID_TOTAL">#REF!</definedName>
    <definedName name="AREA_INTERNA_ANEXOS">#REF!</definedName>
    <definedName name="AREA_INTERNA_PTMS_PRMS">#REF!</definedName>
    <definedName name="AREA_INTERNA_SEDE">#REF!</definedName>
    <definedName name="AREA_INTERNA_TOTAL">#REF!</definedName>
    <definedName name="AREA_MED_HOSP_ANEXOS">#REF!</definedName>
    <definedName name="AREA_MED_HOSP_PTMS_PRMS">#REF!</definedName>
    <definedName name="AREA_MED_HOSP_SEDE">#REF!</definedName>
    <definedName name="AREA_MED_HOSP_TOTAL">#REF!</definedName>
    <definedName name="ARM01_02">#REF!</definedName>
    <definedName name="ARM1_COMP">#REF!</definedName>
    <definedName name="ARM2_COMP">#REF!</definedName>
    <definedName name="asdf">#REF!</definedName>
    <definedName name="asdff">#REF!</definedName>
    <definedName name="asdfff">#REF!</definedName>
    <definedName name="B">#REF!</definedName>
    <definedName name="base">#REF!</definedName>
    <definedName name="BDI">#REF!</definedName>
    <definedName name="BuiltIn_Print_Area">#REF!</definedName>
    <definedName name="BuiltIn_Print_Area___0">#REF!</definedName>
    <definedName name="CAMINHÃO">#REF!</definedName>
    <definedName name="capt01">#REF!</definedName>
    <definedName name="CATEGORIA_PROFISSIONAL">'INSERÇÃO-DE-DADOS'!$D$23</definedName>
    <definedName name="CATEGORIA_PROFISSIONAL_ENC">#REF!</definedName>
    <definedName name="CATEGORIA_PROFISSIONAL_SERV">#REF!</definedName>
    <definedName name="CATEGORIA_PROFISSIONAL_SERV_HOSP">#REF!</definedName>
    <definedName name="cbgnfgjg">#REF!</definedName>
    <definedName name="CBO">'INSERÇÃO-DE-DADOS'!$D$22</definedName>
    <definedName name="CDGFNFVBH">#REF!</definedName>
    <definedName name="CECWC">#REF!</definedName>
    <definedName name="çknlknm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OEF_KI_ESQ_EXTERNA_ENC">#REF!</definedName>
    <definedName name="COEF_KI_ESQ_EXTERNA_SERV">#REF!</definedName>
    <definedName name="COEF_KI_FACHADA_ENVID_ENC">#REF!</definedName>
    <definedName name="COEF_KI_FACHADA_ENVID_SERV">#REF!</definedName>
    <definedName name="ComissaoComercial">'[1]2. Param Gerais'!$N$15</definedName>
    <definedName name="CPMF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_M2_AREA_EXTERNA">#REF!</definedName>
    <definedName name="CUSTO_M2_AREA_EXTERNA_ENC">#REF!</definedName>
    <definedName name="CUSTO_M2_AREA_EXTERNA_SERV">#REF!</definedName>
    <definedName name="CUSTO_M2_AREA_HOSPITALAR_ENC">#REF!</definedName>
    <definedName name="CUSTO_M2_AREA_HOSPITALAR_SERV">#REF!</definedName>
    <definedName name="CUSTO_M2_AREA_INTERNA">#REF!</definedName>
    <definedName name="CUSTO_M2_AREA_INTERNA_ENC">#REF!</definedName>
    <definedName name="CUSTO_M2_AREA_INTERNA_SERV">#REF!</definedName>
    <definedName name="CUSTO_M2_AREA_MED_HOSP">#REF!</definedName>
    <definedName name="CUSTO_M2_ESQ_EXTERNA">#REF!</definedName>
    <definedName name="CUSTO_M2_ESQ_EXTERNA_ENC">#REF!</definedName>
    <definedName name="CUSTO_M2_ESQ_EXTERNA_SERV">#REF!</definedName>
    <definedName name="CUSTO_M2_FACHADA_ENVID">#REF!</definedName>
    <definedName name="CUSTO_M2_FACHADA_ENVID_ENC">#REF!</definedName>
    <definedName name="CUSTO_M2_FACHADA_ENVID_SERV">#REF!</definedName>
    <definedName name="D">#REF!</definedName>
    <definedName name="DATA_APRESENTACAO_PROPOSTA">'INSERÇÃO-DE-DADOS'!$F$11</definedName>
    <definedName name="DATA_BASE_CATEGORIA">'INSERÇÃO-DE-DADOS'!$F$24</definedName>
    <definedName name="DATA_DO_ORCAMENTO_ESTIMATIVO">'INSERÇÃO-DE-DADOS'!$F$2</definedName>
    <definedName name="DATA_LICITACAO">'INSERÇÃO-DE-DADOS'!$D$8</definedName>
    <definedName name="DD">#REF!</definedName>
    <definedName name="dddddddddddddddddddddd">#REF!</definedName>
    <definedName name="DemRes00">#REF!</definedName>
    <definedName name="DemRes01">#REF!</definedName>
    <definedName name="Desoneração">'[2]Parâmetros (não excluir)'!$F$1:$F$2</definedName>
    <definedName name="DFSFSDFS">#REF!</definedName>
    <definedName name="DIAS_AUSENCIAS_LEGAIS">'DADOS-ESTATISTICOS'!$F$27</definedName>
    <definedName name="DIAS_LICENCA_MATERNIDADE">'DADOS-ESTATISTICOS'!$F$33</definedName>
    <definedName name="DIAS_LICENCA_PATERNIDADE">'DADOS-ESTATISTICOS'!$F$28</definedName>
    <definedName name="DIAS_NA_SEMANA">'DADOS-ESTATISTICOS'!$F$5</definedName>
    <definedName name="DIAS_NO_ANO">'DADOS-ESTATISTICOS'!$F$6</definedName>
    <definedName name="DIAS_NO_MES">'DADOS-ESTATISTICOS'!$F$22</definedName>
    <definedName name="DIAS_PAGOS_EMPRESA_ACID_TRAB">'DADOS-ESTATISTICOS'!$F$32</definedName>
    <definedName name="DIAS_TRABALHADOS_NO_MES">'INSERÇÃO-DE-DADOS'!$F$43</definedName>
    <definedName name="DifBDI">#REF!</definedName>
    <definedName name="DifBDI2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IVISOR_DE_HORAS">'DADOS-ESTATISTICOS'!$F$4</definedName>
    <definedName name="DNPM">#REF!</definedName>
    <definedName name="dtgf">#REF!</definedName>
    <definedName name="DURAÇÃO_DO_CONTRATO">[3]FAP!$BJ$18+[3]FAP!$U$14</definedName>
    <definedName name="DVM10_COMP">#REF!</definedName>
    <definedName name="E">#REF!</definedName>
    <definedName name="EMPREG_POR_POSTO">'INSERÇÃO-DE-DADOS'!$E$19</definedName>
    <definedName name="ENCARREGADO_DE_LIMPEZA">#REF!</definedName>
    <definedName name="EQUIPAMENTOS">'INSERÇÃO-DE-DADOS'!$F$62</definedName>
    <definedName name="ESC01_">#REF!</definedName>
    <definedName name="ESC02_">#REF!</definedName>
    <definedName name="ESC03_">#REF!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2">#N/A</definedName>
    <definedName name="Excel_BuiltIn_Print_Area_2">#REF!</definedName>
    <definedName name="Excel_BuiltIn_Print_Area_2_2">#N/A</definedName>
    <definedName name="Excel_BuiltIn_Print_Area_3">#REF!</definedName>
    <definedName name="Excel_BuiltIn_Print_Area_6">#REF!</definedName>
    <definedName name="F">#REF!</definedName>
    <definedName name="Fator">#REF!</definedName>
    <definedName name="FluCai00">#REF!</definedName>
    <definedName name="FluCai01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FREQ_ESQ_EXTERNA">#REF!</definedName>
    <definedName name="FREQ_FACHADA_ENVID">#REF!</definedName>
    <definedName name="FTHRTGJHG">#REF!</definedName>
    <definedName name="Funções">#REF!</definedName>
    <definedName name="G">#REF!</definedName>
    <definedName name="gkghkj">#REF!</definedName>
    <definedName name="GSH">[4]GSH!$D$6</definedName>
    <definedName name="hhhhh">#REF!</definedName>
    <definedName name="HORA_NORMAL">'DADOS-ESTATISTICOS'!$F$9</definedName>
    <definedName name="HORA_NOTURNA">'DADOS-ESTATISTICOS'!$F$10</definedName>
    <definedName name="HORARIO_LICITACAO">'INSERÇÃO-DE-DADOS'!$F$8</definedName>
    <definedName name="ICMS">'[1]2. Param Gerais'!$C$32</definedName>
    <definedName name="IIIIII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mpostoiss">'[1]2. Param Gerais'!$C$30</definedName>
    <definedName name="INSUMO">#REF!</definedName>
    <definedName name="ipi">#REF!</definedName>
    <definedName name="ISS">#REF!</definedName>
    <definedName name="ISSS">#REF!</definedName>
    <definedName name="ITEM">#REF!</definedName>
    <definedName name="Jan_94">#REF!</definedName>
    <definedName name="Jardineiro">#REF!</definedName>
    <definedName name="JORNADA_MES_ESQ_EXTERNA_ENC">#REF!</definedName>
    <definedName name="JORNADA_MES_ESQ_EXTERNA_SERV">#REF!</definedName>
    <definedName name="JORNADA_MES_FACHADA_ENVID_ENC">#REF!</definedName>
    <definedName name="JORNADA_MES_FACHADA_ENVID_SERV">#REF!</definedName>
    <definedName name="Juro00">#REF!</definedName>
    <definedName name="jurus_internos">[3]Parâmetros!$D$7:$H$12</definedName>
    <definedName name="k">#REF!</definedName>
    <definedName name="kl">#REF!</definedName>
    <definedName name="leasing">[3]Parâmetros!$D$7:$H$10</definedName>
    <definedName name="LOCAL_DE_EXECUCAO">'INSERÇÃO-DE-DADOS'!$D$12</definedName>
    <definedName name="LP01_">#REF!</definedName>
    <definedName name="MargemContribuicao">'[1]2. Param Gerais'!$I$15</definedName>
    <definedName name="MATERIAIS">'INSERÇÃO-DE-DADOS'!$F$61</definedName>
    <definedName name="mciedzhjigf">#REF!</definedName>
    <definedName name="MEDIA_ANUAL_DIAS_TRABALHO_MES">'DADOS-ESTATISTICOS'!$F$7</definedName>
    <definedName name="MENOS">#REF!</definedName>
    <definedName name="MESES_NO_ANO">'DADOS-ESTATISTICOS'!$F$8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MMMMMMMMMMMMMMMM">#REF!</definedName>
    <definedName name="MOD_1_REMUNERACAO" localSheetId="3">'OPERADOR DE MÍDIA AUDIOVISUAL'!$F$30</definedName>
    <definedName name="MOD_2_ENCARGOS_BENEFICIOS" localSheetId="3">'OPERADOR DE MÍDIA AUDIOVISUAL'!$F$36+'OPERADOR DE MÍDIA AUDIOVISUAL'!$F$47+'OPERADOR DE MÍDIA AUDIOVISUAL'!$F$55</definedName>
    <definedName name="MOD_3_PROVISAO_RESCISAO" localSheetId="3">'OPERADOR DE MÍDIA AUDIOVISUAL'!$F$61</definedName>
    <definedName name="MOD_4_CUSTO_REPOSICAO" localSheetId="3">'OPERADOR DE MÍDIA AUDIOVISUAL'!$F$72+'OPERADOR DE MÍDIA AUDIOVISUAL'!$F$76</definedName>
    <definedName name="MOD_5_INSUMOS" localSheetId="3">'OPERADOR DE MÍDIA AUDIOVISUAL'!$F$84</definedName>
    <definedName name="MOD_6_CUSTOS_IND_LUCRO_TRIB" localSheetId="3">'OPERADOR DE MÍDIA AUDIOVISUAL'!$F$94</definedName>
    <definedName name="MODALIDADE_DE_LICITACAO">'INSERÇÃO-DE-DADOS'!$D$7</definedName>
    <definedName name="Motos">#REF!</definedName>
    <definedName name="Multiplicador">#REF!</definedName>
    <definedName name="n">#REF!</definedName>
    <definedName name="nlç">#REF!</definedName>
    <definedName name="nnnnn">#REF!</definedName>
    <definedName name="NUMERO_MESES_EXEC_CONTRATUAL">'INSERÇÃO-DE-DADOS'!$F$15</definedName>
    <definedName name="NUMERO_PREGAO">'INSERÇÃO-DE-DADOS'!$F$7</definedName>
    <definedName name="NUMERO_PROCESSO">'INSERÇÃO-DE-DADOS'!$D$6</definedName>
    <definedName name="o">#REF!</definedName>
    <definedName name="OK">#REF!</definedName>
    <definedName name="okk">#REF!</definedName>
    <definedName name="okodkok">#REF!</definedName>
    <definedName name="OUTRAS_AUSENCIAS">'ENCARGOS-SOCIAIS-E-TRABALHISTAS'!$E$31</definedName>
    <definedName name="OUTRAS_AUSENCIAS_DESCRICAO">'INSERÇÃO-DE-DADOS'!$C$51</definedName>
    <definedName name="OUTROS_BENEFICIOS_1">'INSERÇÃO-DE-DADOS'!$F$44</definedName>
    <definedName name="OUTROS_BENEFICIOS_1_DESCRICAO">'INSERÇÃO-DE-DADOS'!$C$44</definedName>
    <definedName name="OUTROS_BENEFICIOS_2">'INSERÇÃO-DE-DADOS'!$F$45</definedName>
    <definedName name="OUTROS_BENEFICIOS_2_DESCRICAO">'INSERÇÃO-DE-DADOS'!$C$45</definedName>
    <definedName name="OUTROS_BENEFICIOS_3">'INSERÇÃO-DE-DADOS'!$F$46</definedName>
    <definedName name="OUTROS_BENEFICIOS_3_DESCRICAO">'INSERÇÃO-DE-DADOS'!$C$46</definedName>
    <definedName name="OUTROS_INSUMOS">'INSERÇÃO-DE-DADOS'!$F$63</definedName>
    <definedName name="OUTROS_INSUMOS_DESCRICAO">'INSERÇÃO-DE-DADOS'!$C$63</definedName>
    <definedName name="OUTROS_REMUNERACAO_1">'INSERÇÃO-DE-DADOS'!$F$34</definedName>
    <definedName name="OUTROS_REMUNERACAO_1_DESCRICAO">'INSERÇÃO-DE-DADOS'!$C$34</definedName>
    <definedName name="OUTROS_REMUNERACAO_2">'INSERÇÃO-DE-DADOS'!$F$35</definedName>
    <definedName name="OUTROS_REMUNERACAO_2_DESCRICAO">'INSERÇÃO-DE-DADOS'!$C$35:$E$35</definedName>
    <definedName name="OUTROS_REMUNERACAO_3">'INSERÇÃO-DE-DADOS'!$F$36</definedName>
    <definedName name="OUTROS_REMUNERACAO_3_DESCRICAO">'INSERÇÃO-DE-DADOS'!$C$36:$E$36</definedName>
    <definedName name="OutrosImpostos">'[1]2. Param Gerais'!$C$38</definedName>
    <definedName name="PER01_">#REF!</definedName>
    <definedName name="PER02_">#REF!</definedName>
    <definedName name="PER03_">#REF!</definedName>
    <definedName name="PER04_">#REF!</definedName>
    <definedName name="PERC_ADIC_FERIAS">'ENCARGOS-SOCIAIS-E-TRABALHISTAS'!$E$6</definedName>
    <definedName name="PERC_ADIC_INS">'INSERÇÃO-DE-DADOS'!$F$33</definedName>
    <definedName name="PERC_ADIC_INSALUB">#REF!</definedName>
    <definedName name="PERC_ADIC_NOT">'INSERÇÃO-DE-DADOS'!$F$32</definedName>
    <definedName name="PERC_ADIC_PERIC">'INSERÇÃO-DE-DADOS'!$F$31</definedName>
    <definedName name="PERC_AVISO_PREVIO_IND">'ENCARGOS-SOCIAIS-E-TRABALHISTAS'!$E$20</definedName>
    <definedName name="PERC_AVISO_PREVIO_TRAB">'ENCARGOS-SOCIAIS-E-TRABALHISTAS'!$E$21</definedName>
    <definedName name="PERC_COFINS">'INSERÇÃO-DE-DADOS'!$F$70</definedName>
    <definedName name="PERC_CONTRIB_SOCIAL">'DADOS-ESTATISTICOS'!#REF!</definedName>
    <definedName name="PERC_CUSTOS_INDIRETOS">'INSERÇÃO-DE-DADOS'!$F$67</definedName>
    <definedName name="PERC_DEC_TERC">'ENCARGOS-SOCIAIS-E-TRABALHISTAS'!$E$5</definedName>
    <definedName name="PERC_DESC_TRANSP_REMUNERACAO">'DADOS-ESTATISTICOS'!$F$14</definedName>
    <definedName name="PERC_EMPREG_AFAST_TRAB">'DADOS-ESTATISTICOS'!$F$31</definedName>
    <definedName name="PERC_EMPREG_AVISO_PREVIO_IND">'DADOS-ESTATISTICOS'!$F$19</definedName>
    <definedName name="PERC_EMPREG_AVISO_PREVIO_TRAB">'DADOS-ESTATISTICOS'!$F$21</definedName>
    <definedName name="PERC_EMPREG_DEMIT_SEM_JUSTA_CAUSA_TOTAL_DESLIG">'DADOS-ESTATISTICOS'!$F$18</definedName>
    <definedName name="PERC_FGTS">'ENCARGOS-SOCIAIS-E-TRABALHISTAS'!$E$16</definedName>
    <definedName name="PERC_FGTS_AVISO_PREV_IND">'ENCARGOS-SOCIAIS-E-TRABALHISTAS'!#REF!</definedName>
    <definedName name="PERC_GPS_FGTS">'ENCARGOS-SOCIAIS-E-TRABALHISTAS'!$E$17</definedName>
    <definedName name="PERC_GPS_FGTS_AVISO_PREVIO_TRAB">'ENCARGOS-SOCIAIS-E-TRABALHISTAS'!#REF!</definedName>
    <definedName name="PERC_HORA_EXTRA">'INSERÇÃO-DE-DADOS'!$F$55</definedName>
    <definedName name="PERC_INCRA">'ENCARGOS-SOCIAIS-E-TRABALHISTAS'!$E$15</definedName>
    <definedName name="PERC_INSS">'ENCARGOS-SOCIAIS-E-TRABALHISTAS'!$E$9</definedName>
    <definedName name="PERC_ISS">'INSERÇÃO-DE-DADOS'!$F$71</definedName>
    <definedName name="PERC_LUCRO">'INSERÇÃO-DE-DADOS'!$F$68</definedName>
    <definedName name="PERC_MOD_3_PROVISAO_RESCISAO" localSheetId="3">'OPERADOR DE MÍDIA AUDIOVISUAL'!$E$61</definedName>
    <definedName name="PERC_MULTA_FGTS">'DADOS-ESTATISTICOS'!$F$20</definedName>
    <definedName name="PERC_MULTA_FGTS_AV_PREV_IND">'ENCARGOS-SOCIAIS-E-TRABALHISTAS'!#REF!</definedName>
    <definedName name="PERC_MULTA_FGTS_AV_PREV_TRAB">'ENCARGOS-SOCIAIS-E-TRABALHISTAS'!$E$22</definedName>
    <definedName name="PERC_NASCIDOS_VIVOS_POPUL_FEM">'DADOS-ESTATISTICOS'!$F$29</definedName>
    <definedName name="PERC_PARTIC_FEM_VIGIL">'DADOS-ESTATISTICOS'!$F$34</definedName>
    <definedName name="PERC_PARTIC_MASC_VIGIL">'DADOS-ESTATISTICOS'!$F$30</definedName>
    <definedName name="PERC_PIS">'INSERÇÃO-DE-DADOS'!$F$69</definedName>
    <definedName name="PERC_RAT">'ENCARGOS-SOCIAIS-E-TRABALHISTAS'!$E$11</definedName>
    <definedName name="PERC_SAL_EDUCACAO">'ENCARGOS-SOCIAIS-E-TRABALHISTAS'!$E$10</definedName>
    <definedName name="PERC_SEBRAE">'ENCARGOS-SOCIAIS-E-TRABALHISTAS'!$E$14</definedName>
    <definedName name="PERC_SENAC">'ENCARGOS-SOCIAIS-E-TRABALHISTAS'!$E$13</definedName>
    <definedName name="PERC_SESC">'ENCARGOS-SOCIAIS-E-TRABALHISTAS'!$E$12</definedName>
    <definedName name="PERC_SUBSTITUTO_ACID_TRAB">'ENCARGOS-SOCIAIS-E-TRABALHISTAS'!$E$29</definedName>
    <definedName name="PERC_SUBSTITUTO_AFAST_MATERN">'ENCARGOS-SOCIAIS-E-TRABALHISTAS'!$E$30</definedName>
    <definedName name="PERC_SUBSTITUTO_AUSENCIAS_LEGAIS">'ENCARGOS-SOCIAIS-E-TRABALHISTAS'!$E$27</definedName>
    <definedName name="PERC_SUBSTITUTO_FERIAS">'ENCARGOS-SOCIAIS-E-TRABALHISTAS'!$E$26</definedName>
    <definedName name="PERC_SUBSTITUTO_LICENCA_PATERNIDADE">'ENCARGOS-SOCIAIS-E-TRABALHISTAS'!$E$28</definedName>
    <definedName name="PERC_SUBSTITUTO_OUTRAS_AUSENCIAS">'INSERÇÃO-DE-DADOS'!$F$51</definedName>
    <definedName name="PERC_TRIBUTOS" localSheetId="3">'OPERADOR DE MÍDIA AUDIOVISUAL'!$E$90</definedName>
    <definedName name="PIS">'[1]2. Param Gerais'!$C$34</definedName>
    <definedName name="PisCofins">'[2]Parâmetros (não excluir)'!$A$1:$A$2</definedName>
    <definedName name="PL01_">#REF!</definedName>
    <definedName name="pl01__">#REF!</definedName>
    <definedName name="Planilha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o">#REF!</definedName>
    <definedName name="PORTARIA_LIMITES">#REF!</definedName>
    <definedName name="POSTO">'[2]Parâmetros (não excluir)'!$H$1:$H$20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azoContrato">'[5]2. Param Gerais'!$E$17</definedName>
    <definedName name="PRECO">#REF!</definedName>
    <definedName name="Print_Area">#REF!</definedName>
    <definedName name="Print_Area_1">#REF!</definedName>
    <definedName name="PRODUT_AREA_ESQ_EXTERNA">#REF!</definedName>
    <definedName name="PRODUT_AREA_EXTERNA">#REF!</definedName>
    <definedName name="PRODUT_AREA_FACHADA_ENVID">#REF!</definedName>
    <definedName name="PRODUT_AREA_HOSPITALAR">#REF!</definedName>
    <definedName name="PRODUT_AREA_INTERNA">#REF!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Qtd_Dias">'[6]horas,vt,va'!#REF!</definedName>
    <definedName name="QTDE_DE_ENC">#REF!</definedName>
    <definedName name="QTDE_DE_SERV">#REF!</definedName>
    <definedName name="QTDE_DE_SERV_HOSP">#REF!</definedName>
    <definedName name="QTDE_POSTOS" localSheetId="3">'INSERÇÃO-DE-DADOS'!$F$19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AMO">'INSERÇÃO-DE-DADOS'!$B$1</definedName>
    <definedName name="REGIÃO">[7]FAP!$AK$8:$AK$13</definedName>
    <definedName name="REGULADORA">#REF!</definedName>
    <definedName name="RELACAO_SERVENTES_ENCARREGADOS">#REF!</definedName>
    <definedName name="RES">#REF!</definedName>
    <definedName name="RTUJH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AL_MINIMO">'INSERÇÃO-DE-DADOS'!$F$25</definedName>
    <definedName name="Salário">#REF!</definedName>
    <definedName name="SALARIO_BASE">'INSERÇÃO-DE-DADOS'!$F$30</definedName>
    <definedName name="SALARIO_NORMATIVO_ENC">#REF!</definedName>
    <definedName name="SALARIO_NORMATIVO_SERV">#REF!</definedName>
    <definedName name="SALARIO_NORMATIVO_SERV_HOSP">#REF!</definedName>
    <definedName name="SDFGDFGF">#REF!</definedName>
    <definedName name="SDFGSDGASDF">#REF!</definedName>
    <definedName name="sdfsdfsdf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egdfhg">#REF!</definedName>
    <definedName name="SERVENTE">#REF!</definedName>
    <definedName name="SERVENTE_AREA_HOSPITALAR">#REF!</definedName>
    <definedName name="Serviços">'[8]Dados - Não mexer'!$A:$A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HARED_FORMULA_10_4_10_4_10">"ROUND((#REF!*(#REF!%/12));2)"</definedName>
    <definedName name="SHARED_FORMULA_11_4_11_4_10">"ROUND((#REF!-#REF!)/#REF!;2)+#REF!"</definedName>
    <definedName name="SHARED_FORMULA_12_4_12_4_10">"#REF!*#REF!"</definedName>
    <definedName name="SHARED_FORMULA_3_2_3_2_0">"[.B3]*[.C3]"</definedName>
    <definedName name="SHARED_FORMULA_4_109_4_109_1">"ROUND([.D110]%*[.$E$52];2)"</definedName>
    <definedName name="SHARED_FORMULA_4_109_4_109_2">"ROUND([.D110]%*[.$E$52];2)"</definedName>
    <definedName name="SHARED_FORMULA_4_109_4_109_3">"ROUND([.D110]%*[.$E$52];2)"</definedName>
    <definedName name="SHARED_FORMULA_4_109_4_109_4">"ROUND([.D110]%*[.$E$52];2)"</definedName>
    <definedName name="SHARED_FORMULA_4_109_4_109_5">"ROUND([.D110]%*[.$E$52];2)"</definedName>
    <definedName name="SHARED_FORMULA_4_109_4_109_6">"ROUND([.D110]%*[.$E$52];2)"</definedName>
    <definedName name="SHARED_FORMULA_4_109_4_109_7">"ROUND([.D110]%*[.$E$52];2)"</definedName>
    <definedName name="SHARED_FORMULA_4_109_4_109_8">"ROUND([.D110]%*[.$E$52];2)"</definedName>
    <definedName name="SHARED_FORMULA_4_109_4_109_9">"ROUND([.D110]%*[.$E$52];2)"</definedName>
    <definedName name="SHARED_FORMULA_4_73_4_73_1">"ROUND([.D74]%*[.$E$52];2)"</definedName>
    <definedName name="SHARED_FORMULA_4_73_4_73_2">"ROUND([.D74]%*[.$E$52];2)"</definedName>
    <definedName name="SHARED_FORMULA_4_73_4_73_3">"ROUND([.D74]%*[.$E$52];2)"</definedName>
    <definedName name="SHARED_FORMULA_4_73_4_73_4">"ROUND([.D74]%*[.$E$52];2)"</definedName>
    <definedName name="SHARED_FORMULA_4_73_4_73_5">"ROUND([.D74]%*[.$E$52];2)"</definedName>
    <definedName name="SHARED_FORMULA_4_73_4_73_6">"ROUND([.D74]%*[.$E$52];2)"</definedName>
    <definedName name="SHARED_FORMULA_4_73_4_73_7">"ROUND([.D74]%*[.$E$52];2)"</definedName>
    <definedName name="SHARED_FORMULA_4_73_4_73_8">"ROUND([.D74]%*[.$E$52];2)"</definedName>
    <definedName name="SHARED_FORMULA_4_73_4_73_9">"ROUND([.D74]%*[.$E$52];2)"</definedName>
    <definedName name="SHARED_FORMULA_4_99_4_99_1">"ROUND([.D100]%*[.$E$52];2)"</definedName>
    <definedName name="SHARED_FORMULA_4_99_4_99_2">"ROUND([.D100]%*[.$E$52];2)"</definedName>
    <definedName name="SHARED_FORMULA_4_99_4_99_3">"ROUND([.D100]%*[.$E$52];2)"</definedName>
    <definedName name="SHARED_FORMULA_4_99_4_99_4">"ROUND([.D100]%*[.$E$52];2)"</definedName>
    <definedName name="SHARED_FORMULA_4_99_4_99_5">"ROUND([.D100]%*[.$E$52];2)"</definedName>
    <definedName name="SHARED_FORMULA_4_99_4_99_6">"ROUND([.D100]%*[.$E$52];2)"</definedName>
    <definedName name="SHARED_FORMULA_4_99_4_99_7">"ROUND([.D100]%*[.$E$52];2)"</definedName>
    <definedName name="SHARED_FORMULA_4_99_4_99_8">"ROUND([.D100]%*[.$E$52];2)"</definedName>
    <definedName name="SHARED_FORMULA_4_99_4_99_9">"ROUND([.D100]%*[.$E$52];2)"</definedName>
    <definedName name="SHARED_FORMULA_5_3_5_3_14">"(#REF!/12)*#REF!"</definedName>
    <definedName name="SHARED_FORMULA_9_4_9_4_10">"#REF!*#REF!"</definedName>
    <definedName name="SHGFSDHFFDG">#REF!</definedName>
    <definedName name="SOMA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sss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SUBMOD_2_1_DEC_TERC_ADIC_FERIAS" localSheetId="3">'OPERADOR DE MÍDIA AUDIOVISUAL'!$F$36</definedName>
    <definedName name="SUBMOD_2_2_GPS_FGTS" localSheetId="3">'OPERADOR DE MÍDIA AUDIOVISUAL'!$F$47</definedName>
    <definedName name="SUBMOD_2_3_BENEFICIOS" localSheetId="3">'OPERADOR DE MÍDIA AUDIOVISUAL'!$F$55</definedName>
    <definedName name="SUBMOD_4_1_SUBSTITUTO" localSheetId="3">'OPERADOR DE MÍDIA AUDIOVISUAL'!$F$72</definedName>
    <definedName name="SUBMOD_4_2_INTRAJORNADA" localSheetId="3">'OPERADOR DE MÍDIA AUDIOVISUAL'!$F$76</definedName>
    <definedName name="Tabela_Inpc">#REF!</definedName>
    <definedName name="TabGeral">#REF!</definedName>
    <definedName name="TaxaAdm">'[1]2. Param Gerais'!$D$15</definedName>
    <definedName name="TEMPO_INTERVALO_REFEICAO">'INSERÇÃO-DE-DADOS'!$F$56</definedName>
    <definedName name="Teste">#N/A</definedName>
    <definedName name="TIPO_CONTRATAÇÃO">[7]FAP!$AM$8:$AM$13</definedName>
    <definedName name="tipo_de_contratação">[3]FAP!$H$14</definedName>
    <definedName name="TIPO_DE_SERVICO">'INSERÇÃO-DE-DADOS'!$C$19</definedName>
    <definedName name="TIPO_DO_CERTAME">[7]FAP!$AJ$8:$AJ$13</definedName>
    <definedName name="To">#REF!</definedName>
    <definedName name="Total">#REF!</definedName>
    <definedName name="TOTALCLP03">#REF!</definedName>
    <definedName name="TRANSPORTE_POR_DIA">'INSERÇÃO-DE-DADOS'!$F$41</definedName>
    <definedName name="TxAdmCorporativa">'[1]2. Param Gerais'!$I$21</definedName>
    <definedName name="UF">#REF!</definedName>
    <definedName name="UG">'INSERÇÃO-DE-DADOS'!$B$2</definedName>
    <definedName name="UN">#REF!</definedName>
    <definedName name="UniformeMensageiro">#REF!</definedName>
    <definedName name="UniformeMensageiros">#REF!</definedName>
    <definedName name="UniformeRecepcionista">#REF!</definedName>
    <definedName name="UNIFORMES">'INSERÇÃO-DE-DADOS'!$F$60</definedName>
    <definedName name="v">#REF!</definedName>
    <definedName name="VA">#REF!</definedName>
    <definedName name="VALOR_LIMITE_CONTRATACAO_POR_AREA">#REF!</definedName>
    <definedName name="VALOR_LIMITES_AREA_EXTERNA">#REF!</definedName>
    <definedName name="VALOR_LIMITES_AREA_INTERNA">#REF!</definedName>
    <definedName name="VALOR_LIMITES_ESQ_EXTERNA">#REF!</definedName>
    <definedName name="VALOR_LIMITES_FACHADA_ENVID">#REF!</definedName>
    <definedName name="VALOR_TOTAL_EMPREGADO" localSheetId="3">'OPERADOR DE MÍDIA AUDIOVISUAL'!$F$103</definedName>
    <definedName name="VALOR_TOTAL_POSTO" localSheetId="3">'OPERADOR DE MÍDIA AUDIOVISUAL'!$F$104</definedName>
    <definedName name="VALOR_TOTAL_SERV">#REF!</definedName>
    <definedName name="VALOR_TOTAL_SERV_HOSP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  <definedName name="vvvv">#REF!</definedName>
    <definedName name="W">#REF!</definedName>
    <definedName name="X">#REF!</definedName>
    <definedName name="xwswsxasx">#REF!</definedName>
    <definedName name="XXX">#REF!</definedName>
    <definedName name="zdfsdf">#REF!</definedName>
    <definedName name="ZZ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7" i="3" l="1"/>
  <c r="E93" i="6"/>
  <c r="E92" i="6"/>
  <c r="E91" i="6"/>
  <c r="E90" i="6"/>
  <c r="E89" i="6"/>
  <c r="E88" i="6"/>
  <c r="C83" i="6"/>
  <c r="F82" i="6"/>
  <c r="F81" i="6"/>
  <c r="F80" i="6"/>
  <c r="F84" i="6" s="1"/>
  <c r="F101" i="6" s="1"/>
  <c r="F75" i="6"/>
  <c r="F76" i="6" s="1"/>
  <c r="E71" i="6"/>
  <c r="C71" i="6"/>
  <c r="E60" i="6"/>
  <c r="F54" i="6"/>
  <c r="C54" i="6"/>
  <c r="F53" i="6"/>
  <c r="C53" i="6"/>
  <c r="F52" i="6"/>
  <c r="C52" i="6"/>
  <c r="F51" i="6"/>
  <c r="F50" i="6"/>
  <c r="F55" i="6" s="1"/>
  <c r="E46" i="6"/>
  <c r="E45" i="6"/>
  <c r="E44" i="6"/>
  <c r="E43" i="6"/>
  <c r="E42" i="6"/>
  <c r="E41" i="6"/>
  <c r="E40" i="6"/>
  <c r="E39" i="6"/>
  <c r="F29" i="6"/>
  <c r="C29" i="6"/>
  <c r="F28" i="6"/>
  <c r="C28" i="6"/>
  <c r="F27" i="6"/>
  <c r="C27" i="6"/>
  <c r="F26" i="6"/>
  <c r="F25" i="6"/>
  <c r="F23" i="6"/>
  <c r="F22" i="6"/>
  <c r="F24" i="6" s="1"/>
  <c r="F19" i="6"/>
  <c r="F17" i="6"/>
  <c r="D16" i="6"/>
  <c r="D15" i="6"/>
  <c r="E14" i="6"/>
  <c r="F12" i="6"/>
  <c r="F11" i="6"/>
  <c r="F10" i="6"/>
  <c r="D9" i="6"/>
  <c r="F8" i="6"/>
  <c r="F6" i="6"/>
  <c r="D6" i="6"/>
  <c r="D5" i="6"/>
  <c r="F2" i="6"/>
  <c r="B2" i="6"/>
  <c r="B1" i="6"/>
  <c r="E31" i="5"/>
  <c r="C31" i="5"/>
  <c r="E29" i="5"/>
  <c r="E69" i="6" s="1"/>
  <c r="E28" i="5"/>
  <c r="E27" i="5"/>
  <c r="E26" i="5"/>
  <c r="E66" i="6" s="1"/>
  <c r="E21" i="5"/>
  <c r="E59" i="6" s="1"/>
  <c r="E20" i="5"/>
  <c r="E17" i="5"/>
  <c r="E30" i="5" s="1"/>
  <c r="E6" i="5"/>
  <c r="E35" i="6" s="1"/>
  <c r="E5" i="5"/>
  <c r="F39" i="4"/>
  <c r="F38" i="4"/>
  <c r="F31" i="4"/>
  <c r="E71" i="3"/>
  <c r="E70" i="3"/>
  <c r="E69" i="3"/>
  <c r="F11" i="3"/>
  <c r="D6" i="2"/>
  <c r="E70" i="6" l="1"/>
  <c r="E67" i="6"/>
  <c r="F30" i="6"/>
  <c r="E34" i="6"/>
  <c r="E68" i="6"/>
  <c r="E58" i="6"/>
  <c r="F97" i="6" l="1"/>
  <c r="F34" i="6"/>
  <c r="F35" i="6"/>
  <c r="F36" i="6" l="1"/>
  <c r="F43" i="6" l="1"/>
  <c r="F45" i="6"/>
  <c r="F41" i="6"/>
  <c r="F46" i="6"/>
  <c r="F58" i="6" s="1"/>
  <c r="F40" i="6"/>
  <c r="F42" i="6"/>
  <c r="F39" i="6"/>
  <c r="F44" i="6"/>
  <c r="F60" i="6"/>
  <c r="F47" i="6" l="1"/>
  <c r="F98" i="6" l="1"/>
  <c r="F59" i="6"/>
  <c r="F61" i="6" s="1"/>
  <c r="F99" i="6" l="1"/>
  <c r="F68" i="6"/>
  <c r="F67" i="6"/>
  <c r="F70" i="6"/>
  <c r="F69" i="6"/>
  <c r="F71" i="6"/>
  <c r="F66" i="6"/>
  <c r="F72" i="6" l="1"/>
  <c r="F100" i="6" l="1"/>
  <c r="F88" i="6"/>
  <c r="F89" i="6" l="1"/>
  <c r="F91" i="6" l="1"/>
  <c r="F92" i="6"/>
  <c r="F93" i="6"/>
  <c r="F90" i="6" l="1"/>
  <c r="F94" i="6" s="1"/>
  <c r="F102" i="6" s="1"/>
  <c r="F103" i="6" s="1"/>
  <c r="F105" i="6" l="1"/>
  <c r="F104" i="6"/>
  <c r="G6" i="2"/>
  <c r="H6" i="2" s="1"/>
  <c r="H7" i="2" s="1"/>
  <c r="H10" i="2" s="1"/>
  <c r="H11" i="2" s="1"/>
</calcChain>
</file>

<file path=xl/sharedStrings.xml><?xml version="1.0" encoding="utf-8"?>
<sst xmlns="http://schemas.openxmlformats.org/spreadsheetml/2006/main" count="439" uniqueCount="205">
  <si>
    <t>RAMO:</t>
  </si>
  <si>
    <t>UNIDADE GESTORA (SIGLA): ESMPU</t>
  </si>
  <si>
    <t>DATA:</t>
  </si>
  <si>
    <t>CUSTOS REFERENTES AOS SERVIÇOS CONTRATADOS</t>
  </si>
  <si>
    <t>Dados referentes à licitação</t>
  </si>
  <si>
    <t>Nº do Processo (X.XX.XXX.XXXXXX/XXXX-XX)</t>
  </si>
  <si>
    <t>0.01.000.1.0002372/2024-98</t>
  </si>
  <si>
    <t>Modalidade de Licitação nº (XX/AAAA)</t>
  </si>
  <si>
    <t>Pregão nº</t>
  </si>
  <si>
    <t>XX/XXXX</t>
  </si>
  <si>
    <t>Data / Horário</t>
  </si>
  <si>
    <t>XX/XX/XXXX</t>
  </si>
  <si>
    <t>XX:XX</t>
  </si>
  <si>
    <t>Dados referentes à contratação</t>
  </si>
  <si>
    <t>A</t>
  </si>
  <si>
    <t>Data de Apresentação da Proposta (DD/MM/AAAA)</t>
  </si>
  <si>
    <t>B</t>
  </si>
  <si>
    <t>Local de Execução (Sede, Anexo I ou II, PTM, PRM)</t>
  </si>
  <si>
    <t>Brasília</t>
  </si>
  <si>
    <t>C</t>
  </si>
  <si>
    <t>Unidade da Federação</t>
  </si>
  <si>
    <t>DF</t>
  </si>
  <si>
    <t>D</t>
  </si>
  <si>
    <t>Acordo, Conv. ou Sentença Normativa em Dissídio Coletivo (MM/AAAA)</t>
  </si>
  <si>
    <t>01/2024</t>
  </si>
  <si>
    <t>E</t>
  </si>
  <si>
    <t>Número de Meses de Execução Contratual</t>
  </si>
  <si>
    <t>Identificação do serviço</t>
  </si>
  <si>
    <t>Item</t>
  </si>
  <si>
    <t>Tipo de Serviço</t>
  </si>
  <si>
    <t>Unidade de Medida</t>
  </si>
  <si>
    <t>Empregados por Posto</t>
  </si>
  <si>
    <t>Qtde Total a Contratar</t>
  </si>
  <si>
    <t>Operador de Mídia Audiovisual</t>
  </si>
  <si>
    <t>posto</t>
  </si>
  <si>
    <t>Mão de obra</t>
  </si>
  <si>
    <t>Classificação Brasileira de Ocupações (CBO)</t>
  </si>
  <si>
    <t>3731-05</t>
  </si>
  <si>
    <t>Categoria Profissional (vinculada à execução contratual)</t>
  </si>
  <si>
    <t>Data-Base da Categoria (DD/MM/AAAA)</t>
  </si>
  <si>
    <t>Salário Mínimo vigente no país (em R$)</t>
  </si>
  <si>
    <t>CUSTOS POR EMPREGADO</t>
  </si>
  <si>
    <t>MÓDULO 1: COMPOSIÇÃO DA REMUNERAÇÃO</t>
  </si>
  <si>
    <t>Composição da Remuneração</t>
  </si>
  <si>
    <t>Valor / %</t>
  </si>
  <si>
    <t>Salário-Base (em R$)</t>
  </si>
  <si>
    <t>Adicional de Periculosidade (em %)</t>
  </si>
  <si>
    <t>Adicional Noturno (em %)</t>
  </si>
  <si>
    <t>Adicional de Insalubridade (em %)</t>
  </si>
  <si>
    <t>Outras Remunerações 1 (Especificar)</t>
  </si>
  <si>
    <t>F</t>
  </si>
  <si>
    <t>Outras Remunerações 2 (Especificar)</t>
  </si>
  <si>
    <t>G</t>
  </si>
  <si>
    <t>Outras Remunerações 3 (Especificar)</t>
  </si>
  <si>
    <t>MÓDULO 2: ENCARGOS E BENEFÍCIOS ANUAIS, MENSAIS E DIÁRIOS</t>
  </si>
  <si>
    <t>Submódulo 2.3 - Benefícios Mensais e Diários</t>
  </si>
  <si>
    <t>2.3</t>
  </si>
  <si>
    <t>Benefícios Mensais e Diários</t>
  </si>
  <si>
    <t>Frequência</t>
  </si>
  <si>
    <t>Valor (em R$)</t>
  </si>
  <si>
    <t>Transporte</t>
  </si>
  <si>
    <t>Diária</t>
  </si>
  <si>
    <t>Auxílio-Refeição/Alimentação</t>
  </si>
  <si>
    <t>Dias Trabalhados no mês (15 dias intercalados ou 22 dias úteis)</t>
  </si>
  <si>
    <t>Mensal</t>
  </si>
  <si>
    <t>Seguro de Vida</t>
  </si>
  <si>
    <t>Outros Benefícios 2 (Especificar)</t>
  </si>
  <si>
    <t>Outros Benefícios 3 (Especificar)</t>
  </si>
  <si>
    <t>MÓDULO 4: CUSTO DE REPOSIÇÃO DO PROFISSIONAL AUSENTE</t>
  </si>
  <si>
    <t>Submódulo 4.1 - Substituto nas Ausências Legais</t>
  </si>
  <si>
    <t>4.1</t>
  </si>
  <si>
    <t>Substituto nas Ausências Legais</t>
  </si>
  <si>
    <t>%</t>
  </si>
  <si>
    <t>Outras Ausências (Especificar - em %)</t>
  </si>
  <si>
    <t>Submódulo 4.2 - Substituto na Intrajornada</t>
  </si>
  <si>
    <t>4.2</t>
  </si>
  <si>
    <t>Substituto na Intrajornada</t>
  </si>
  <si>
    <t>% / Minutos</t>
  </si>
  <si>
    <t>Hora Extra (em %)</t>
  </si>
  <si>
    <t>Tempo de Intervalo para Refeição (em minutos)</t>
  </si>
  <si>
    <t>MÓDULO 5: INSUMOS DIVERSOS</t>
  </si>
  <si>
    <t>Insumos Diversos</t>
  </si>
  <si>
    <t>Valor (R$)</t>
  </si>
  <si>
    <t>Uniformes</t>
  </si>
  <si>
    <t>Materiais</t>
  </si>
  <si>
    <t>Equipamentos</t>
  </si>
  <si>
    <t>Outros (Especificar)</t>
  </si>
  <si>
    <t>MÓDULO 6: CUSTOS INDIRETOS, TRIBUTOS E LUCRO</t>
  </si>
  <si>
    <t>Custos Indiretos, Tributos e Lucro</t>
  </si>
  <si>
    <t>Custos Indiretos</t>
  </si>
  <si>
    <t>Lucro</t>
  </si>
  <si>
    <t>C.1</t>
  </si>
  <si>
    <t>PIS</t>
  </si>
  <si>
    <t>C.2</t>
  </si>
  <si>
    <t>Cofins</t>
  </si>
  <si>
    <t>C.3</t>
  </si>
  <si>
    <t>ISS</t>
  </si>
  <si>
    <t>OBSERVAÇÃO</t>
  </si>
  <si>
    <t>Para mais informações, consulte o Referencial Técnico de Custos, constante da aba PUBLICAÇÕES, na página da Auditoria Interna do MPU na internet (www.auditoria.mpu.mp.br).</t>
  </si>
  <si>
    <t>DADOS ESTATÍSTICOS</t>
  </si>
  <si>
    <t>Dias / Horas / Minutos</t>
  </si>
  <si>
    <t>Divisor de Horas (em horas)</t>
  </si>
  <si>
    <t>Dias na Semana</t>
  </si>
  <si>
    <t>Dias no Ano</t>
  </si>
  <si>
    <t>I</t>
  </si>
  <si>
    <t>Média Anual de Dias Trabalhados no Mês</t>
  </si>
  <si>
    <t>J</t>
  </si>
  <si>
    <t xml:space="preserve">Meses no Ano </t>
  </si>
  <si>
    <t>K</t>
  </si>
  <si>
    <t>Hora Normal (em minutos)</t>
  </si>
  <si>
    <t>L</t>
  </si>
  <si>
    <t>Hora Noturna (em minutos)</t>
  </si>
  <si>
    <t>Desconto Remuneração Transporte</t>
  </si>
  <si>
    <t>MÓDULO 3: PROVISÃO PARA RESCISÃO</t>
  </si>
  <si>
    <t>Provisão para Rescisão</t>
  </si>
  <si>
    <t>Dias / %</t>
  </si>
  <si>
    <t>Pessoas demitidas sem justa causa / Total de desligamentos (em %)</t>
  </si>
  <si>
    <t>Empregados que recebem aviso prévio indenizado (em %)</t>
  </si>
  <si>
    <t>Multa do FGTS (em %)</t>
  </si>
  <si>
    <t>Empregados que recebem aviso prévio trabalhado (em %)</t>
  </si>
  <si>
    <t>Dias no mês</t>
  </si>
  <si>
    <t>Dias de Ausências Legais</t>
  </si>
  <si>
    <t>Dias de Licença-Paternidade</t>
  </si>
  <si>
    <t>Nascidos Vivos / População Feminina (em %)</t>
  </si>
  <si>
    <t>Participação Masculina(em %)</t>
  </si>
  <si>
    <t>Empregados afastados por acidente de trabalho (em %)</t>
  </si>
  <si>
    <t>Dias pagos pela empresa em acidentes de trabalho</t>
  </si>
  <si>
    <t>Dias de Licença-Maternidade</t>
  </si>
  <si>
    <t>H</t>
  </si>
  <si>
    <t>Participação Feminina (em %)</t>
  </si>
  <si>
    <t>Submódulo 4.2 - Intrajornada</t>
  </si>
  <si>
    <t>Intrajornada</t>
  </si>
  <si>
    <t>Minutos / %</t>
  </si>
  <si>
    <t>ENCARGOS SOCIAIS E TRABALHISTAS</t>
  </si>
  <si>
    <t>Submódulo 2.1 - 13º (décimo terceiro) Salário e Adicional de Férias</t>
  </si>
  <si>
    <t>2.1</t>
  </si>
  <si>
    <t>13º Salário e Adicional de Férias</t>
  </si>
  <si>
    <t>Memória de Cálculo</t>
  </si>
  <si>
    <t>13º Salário</t>
  </si>
  <si>
    <t>(1/12) x 100</t>
  </si>
  <si>
    <t>Adicional de Férias</t>
  </si>
  <si>
    <t>[(1/3)/12] x 100</t>
  </si>
  <si>
    <t>Submódulo 2.2 - Encargos Previdencários (GPS), Fundo de Garantia por Tempo de Serviço (FGTS) e Outras Contribuições</t>
  </si>
  <si>
    <t>2.2</t>
  </si>
  <si>
    <t>Encargos Previdenciários (GPS), Fundo de Garantia por Tempo de Serviço (FGTS) e outras contribuições</t>
  </si>
  <si>
    <t>INSS</t>
  </si>
  <si>
    <t>Salário Educação</t>
  </si>
  <si>
    <t>Riscos Ambientas do Trabalho</t>
  </si>
  <si>
    <t>SESC</t>
  </si>
  <si>
    <t>SENAC</t>
  </si>
  <si>
    <t>SEBRAE</t>
  </si>
  <si>
    <t>INCRA</t>
  </si>
  <si>
    <t>FGTS</t>
  </si>
  <si>
    <t>TOTAL</t>
  </si>
  <si>
    <t>Aviso Prévio Indenizado</t>
  </si>
  <si>
    <t>[(62,93%) x 5,55% x (1/12)] x 100</t>
  </si>
  <si>
    <t>Aviso Prévio Trabalhado</t>
  </si>
  <si>
    <t>[(62,93%) x 94,45% x (7/30)/12] x 100</t>
  </si>
  <si>
    <t>Multa do FGTS sobre o Aviso Prévio Trabalhado</t>
  </si>
  <si>
    <t>1,16% x 40%  x 8,00% x 100</t>
  </si>
  <si>
    <t xml:space="preserve">Substituto na Cobertura de Férias </t>
  </si>
  <si>
    <t xml:space="preserve">(1/12) x 100 </t>
  </si>
  <si>
    <t>Substituto na Cobertura de Ausências Legais</t>
  </si>
  <si>
    <t>[(8/30)/12] x 100</t>
  </si>
  <si>
    <t>Substituto na Cobertura de Licença-Paternidade</t>
  </si>
  <si>
    <t>{[(20/30)/12] x 1,416% x 45,22%} x 100</t>
  </si>
  <si>
    <t>Substituto na Cobertura de Ausência por Acidente de Trabalho</t>
  </si>
  <si>
    <t>[(15/30)/12] x 0,44%} x 100</t>
  </si>
  <si>
    <t>Substituto na Cobertura de Afastamento Maternidade</t>
  </si>
  <si>
    <t>{[(180/30)/12] x 1,416% x 54,78% x 36,80%} x 100</t>
  </si>
  <si>
    <t>CUSTOS REFERENTES AO POSTO</t>
  </si>
  <si>
    <t>Nº do Processo</t>
  </si>
  <si>
    <t>Modalidade de Licitação</t>
  </si>
  <si>
    <t>DISCRIMINAÇÃO DOS SERVIÇOS (DADOS REFERENTES À CONTRATAÇÃO)</t>
  </si>
  <si>
    <t>Quantidade de Postos</t>
  </si>
  <si>
    <t>Tipo de Serviço (mesmo serviço com características distintas)</t>
  </si>
  <si>
    <t>PLANILHA DE CUSTOS E FORMAÇÃO DE PREÇOS</t>
  </si>
  <si>
    <t>EMPREGADOS POR POSTO</t>
  </si>
  <si>
    <t>Salário-Base</t>
  </si>
  <si>
    <t>Adicional de Periculosidade</t>
  </si>
  <si>
    <t>Adicional Noturno</t>
  </si>
  <si>
    <t>Adicional de Hora Noturna Reduzida (em %)</t>
  </si>
  <si>
    <t>Adicional de Insalubridade</t>
  </si>
  <si>
    <t>Substituto na Cobertura de Intervalo para Repouso e Alimentação</t>
  </si>
  <si>
    <t>Tributos</t>
  </si>
  <si>
    <t>QUADRO RESUMO - CUSTO POR EMPREGADO</t>
  </si>
  <si>
    <t>MÓD.</t>
  </si>
  <si>
    <t>Mão-de-obra vinculada à execução contratual (valor por empregado)</t>
  </si>
  <si>
    <t>Valor    (R$)</t>
  </si>
  <si>
    <t>Encargos e Benefícios Anuais, Mensais e Diários</t>
  </si>
  <si>
    <t>Custo de Reposição do Profissional Ausente</t>
  </si>
  <si>
    <t>VALOR TOTAL DO EMPREGADO</t>
  </si>
  <si>
    <t>VALOR TOTAL POR POSTO</t>
  </si>
  <si>
    <t>VALOR TOTAL DA CATEGORIA</t>
  </si>
  <si>
    <t>QUADRO RESUMO - VALOR MENSAL DOS SERVIÇOS COM PLANO DE SAÚDE</t>
  </si>
  <si>
    <t>ITEM</t>
  </si>
  <si>
    <t>Local da Execução dos Serviços</t>
  </si>
  <si>
    <t>Qtde de funci. Por posto
(A)</t>
  </si>
  <si>
    <t>Valor por posto (R$)
(B)</t>
  </si>
  <si>
    <t>Valor total do serviço (R$)
C = (AxB)</t>
  </si>
  <si>
    <t>VALOR MENSAL DOS SERVIÇOS</t>
  </si>
  <si>
    <t>Quantidade de funcionários</t>
  </si>
  <si>
    <t>Custo do plano de saúde mensal por funcionário</t>
  </si>
  <si>
    <t>VALOR MENSAL FINAL PARA A CONTRATAÇÃO</t>
  </si>
  <si>
    <t>VALOR ANUAL MÁXIMO PARA A CONTRATAÇÃO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</si>
</sst>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R$ &quot;* #,##0.00_);_(&quot;R$ &quot;* \(#,##0.00\);_(&quot;R$ &quot;* \-??_);_(@_)"/>
    <numFmt numFmtId="165" formatCode="_-&quot;R$ &quot;* #,##0.00_-;&quot;-R$ &quot;* #,##0.00_-;_-&quot;R$ &quot;* \-??_-;_-@_-"/>
    <numFmt numFmtId="166" formatCode="d/m/yyyy"/>
    <numFmt numFmtId="167" formatCode="&quot;R$ &quot;#,##0.00"/>
    <numFmt numFmtId="168" formatCode="0.0%"/>
    <numFmt numFmtId="169" formatCode="#,##0.00_);\(#,##0.00\)"/>
    <numFmt numFmtId="170" formatCode="#,##0_);\(#,##0\)"/>
    <numFmt numFmtId="171" formatCode="#,##0.0000;\-#,##0.0000"/>
    <numFmt numFmtId="172" formatCode="&quot;R$ &quot;#,##0.00;[Red]&quot;-R$ &quot;#,##0.00"/>
    <numFmt numFmtId="173" formatCode="#,##0.0"/>
    <numFmt numFmtId="174" formatCode="#,##0.00_ ;\-#,##0.00\ "/>
  </numFmts>
  <fonts count="29" x14ac:knownFonts="1">
    <font>
      <sz val="10"/>
      <name val="Arial"/>
      <family val="2"/>
      <charset val="1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5"/>
      <color rgb="FF003366"/>
      <name val="Calibri"/>
      <family val="2"/>
      <charset val="1"/>
    </font>
    <font>
      <b/>
      <sz val="14"/>
      <color rgb="FF632523"/>
      <name val="Segoe UI Light"/>
      <family val="2"/>
      <charset val="1"/>
    </font>
    <font>
      <b/>
      <sz val="11"/>
      <color rgb="FFFFFFFF"/>
      <name val="Segoe UI Light"/>
      <family val="2"/>
      <charset val="1"/>
    </font>
    <font>
      <sz val="11"/>
      <color theme="1"/>
      <name val="Segoe UI Light"/>
      <family val="2"/>
    </font>
    <font>
      <sz val="11"/>
      <color theme="1"/>
      <name val="Segoe UI Light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11"/>
      <name val="Segoe UI Light"/>
      <family val="2"/>
      <charset val="1"/>
    </font>
    <font>
      <sz val="14"/>
      <name val="Segoe UI Light"/>
      <family val="2"/>
      <charset val="1"/>
    </font>
    <font>
      <sz val="8"/>
      <name val="Segoe UI Light"/>
      <family val="2"/>
      <charset val="1"/>
    </font>
    <font>
      <b/>
      <sz val="16"/>
      <color theme="5" tint="-0.499984740745262"/>
      <name val="Segoe UI Light"/>
      <family val="2"/>
      <charset val="1"/>
    </font>
    <font>
      <b/>
      <sz val="11"/>
      <color theme="0"/>
      <name val="Segoe UI Light"/>
      <family val="2"/>
      <charset val="1"/>
    </font>
    <font>
      <b/>
      <sz val="11"/>
      <name val="Segoe UI Light"/>
      <family val="2"/>
      <charset val="1"/>
    </font>
    <font>
      <sz val="11"/>
      <name val="Segoe UI Light"/>
      <family val="2"/>
    </font>
    <font>
      <b/>
      <sz val="11"/>
      <color theme="5" tint="-0.499984740745262"/>
      <name val="Segoe UI Light"/>
      <family val="2"/>
      <charset val="1"/>
    </font>
    <font>
      <sz val="11"/>
      <color rgb="FFFF0000"/>
      <name val="Segoe UI Light"/>
      <family val="2"/>
      <charset val="1"/>
    </font>
    <font>
      <i/>
      <sz val="10"/>
      <color theme="0"/>
      <name val="Segoe UI Light"/>
      <family val="2"/>
      <charset val="1"/>
    </font>
    <font>
      <b/>
      <sz val="14"/>
      <color theme="5" tint="-0.249977111117893"/>
      <name val="Segoe UI Light"/>
      <family val="2"/>
      <charset val="1"/>
    </font>
    <font>
      <sz val="11"/>
      <color theme="5" tint="-0.249977111117893"/>
      <name val="Segoe UI Light"/>
      <family val="2"/>
      <charset val="1"/>
    </font>
    <font>
      <b/>
      <sz val="12"/>
      <color theme="5" tint="-0.499984740745262"/>
      <name val="Segoe UI Light"/>
      <family val="2"/>
      <charset val="1"/>
    </font>
    <font>
      <b/>
      <sz val="20"/>
      <color theme="5" tint="-0.249977111117893"/>
      <name val="Segoe UI Light"/>
      <family val="2"/>
      <charset val="1"/>
    </font>
    <font>
      <b/>
      <sz val="16"/>
      <name val="Segoe UI Light"/>
      <family val="2"/>
      <charset val="1"/>
    </font>
    <font>
      <i/>
      <sz val="10"/>
      <name val="Segoe UI Light"/>
      <family val="2"/>
      <charset val="1"/>
    </font>
    <font>
      <b/>
      <sz val="14"/>
      <color theme="5" tint="-0.499984740745262"/>
      <name val="Segoe UI Light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D55816"/>
        <bgColor rgb="FF993300"/>
      </patternFill>
    </fill>
    <fill>
      <patternFill patternType="solid">
        <fgColor rgb="FFFAC090"/>
        <bgColor rgb="FFFCD5B5"/>
      </patternFill>
    </fill>
    <fill>
      <patternFill patternType="solid">
        <fgColor theme="9"/>
        <bgColor rgb="FFFF8080"/>
      </patternFill>
    </fill>
    <fill>
      <patternFill patternType="solid">
        <fgColor theme="9" tint="0.79989013336588644"/>
        <bgColor rgb="FFF2F2F2"/>
      </patternFill>
    </fill>
    <fill>
      <patternFill patternType="solid">
        <fgColor theme="9" tint="0.59987182226020086"/>
        <bgColor rgb="FFFDEADA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4.9989318521683403E-2"/>
      </top>
      <bottom/>
      <diagonal/>
    </border>
  </borders>
  <cellStyleXfs count="12">
    <xf numFmtId="0" fontId="0" fillId="0" borderId="0"/>
    <xf numFmtId="165" fontId="28" fillId="0" borderId="0" applyBorder="0" applyProtection="0"/>
    <xf numFmtId="9" fontId="28" fillId="0" borderId="0" applyBorder="0" applyProtection="0"/>
    <xf numFmtId="164" fontId="28" fillId="0" borderId="0" applyBorder="0" applyProtection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" fillId="0" borderId="0">
      <alignment vertical="center"/>
    </xf>
    <xf numFmtId="0" fontId="3" fillId="0" borderId="0" applyBorder="0" applyProtection="0"/>
    <xf numFmtId="0" fontId="4" fillId="0" borderId="1" applyProtection="0"/>
  </cellStyleXfs>
  <cellXfs count="170">
    <xf numFmtId="0" fontId="0" fillId="0" borderId="0" xfId="0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left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165" fontId="8" fillId="4" borderId="3" xfId="1" applyFont="1" applyFill="1" applyBorder="1" applyAlignment="1" applyProtection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vertical="center"/>
    </xf>
    <xf numFmtId="165" fontId="6" fillId="3" borderId="3" xfId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9" fillId="0" borderId="0" xfId="1" applyNumberFormat="1" applyFont="1" applyBorder="1" applyAlignment="1" applyProtection="1">
      <alignment vertical="center"/>
    </xf>
    <xf numFmtId="168" fontId="28" fillId="0" borderId="0" xfId="2" applyNumberFormat="1" applyBorder="1" applyProtection="1"/>
    <xf numFmtId="0" fontId="10" fillId="0" borderId="0" xfId="0" applyFont="1"/>
    <xf numFmtId="0" fontId="11" fillId="2" borderId="0" xfId="0" applyFont="1" applyFill="1"/>
    <xf numFmtId="0" fontId="12" fillId="6" borderId="5" xfId="0" applyFont="1" applyFill="1" applyBorder="1" applyAlignment="1">
      <alignment horizontal="right"/>
    </xf>
    <xf numFmtId="166" fontId="12" fillId="5" borderId="5" xfId="0" applyNumberFormat="1" applyFont="1" applyFill="1" applyBorder="1" applyProtection="1">
      <protection locked="0"/>
    </xf>
    <xf numFmtId="0" fontId="13" fillId="2" borderId="0" xfId="0" applyFont="1" applyFill="1"/>
    <xf numFmtId="49" fontId="11" fillId="5" borderId="3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49" fontId="11" fillId="2" borderId="0" xfId="0" applyNumberFormat="1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166" fontId="11" fillId="5" borderId="3" xfId="0" applyNumberFormat="1" applyFont="1" applyFill="1" applyBorder="1" applyAlignment="1" applyProtection="1">
      <alignment horizontal="center"/>
      <protection locked="0"/>
    </xf>
    <xf numFmtId="0" fontId="15" fillId="3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justify" vertical="center" wrapText="1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0" fontId="11" fillId="7" borderId="3" xfId="0" applyFont="1" applyFill="1" applyBorder="1"/>
    <xf numFmtId="0" fontId="11" fillId="6" borderId="3" xfId="0" applyFont="1" applyFill="1" applyBorder="1"/>
    <xf numFmtId="4" fontId="11" fillId="5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166" fontId="11" fillId="2" borderId="0" xfId="0" applyNumberFormat="1" applyFont="1" applyFill="1" applyAlignment="1">
      <alignment horizontal="center"/>
    </xf>
    <xf numFmtId="0" fontId="14" fillId="2" borderId="0" xfId="0" applyFont="1" applyFill="1"/>
    <xf numFmtId="0" fontId="18" fillId="2" borderId="0" xfId="0" applyFont="1" applyFill="1" applyAlignment="1">
      <alignment horizontal="left"/>
    </xf>
    <xf numFmtId="169" fontId="11" fillId="2" borderId="0" xfId="0" applyNumberFormat="1" applyFont="1" applyFill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165" fontId="11" fillId="5" borderId="3" xfId="1" applyFont="1" applyFill="1" applyBorder="1" applyAlignment="1" applyProtection="1">
      <alignment horizontal="right" vertical="center"/>
      <protection locked="0"/>
    </xf>
    <xf numFmtId="3" fontId="11" fillId="5" borderId="3" xfId="0" applyNumberFormat="1" applyFont="1" applyFill="1" applyBorder="1" applyAlignment="1" applyProtection="1">
      <alignment horizontal="right" vertical="center"/>
      <protection locked="0"/>
    </xf>
    <xf numFmtId="4" fontId="11" fillId="5" borderId="3" xfId="0" applyNumberFormat="1" applyFont="1" applyFill="1" applyBorder="1" applyAlignment="1" applyProtection="1">
      <alignment horizontal="right" vertical="center"/>
      <protection locked="0"/>
    </xf>
    <xf numFmtId="0" fontId="19" fillId="2" borderId="0" xfId="0" applyFont="1" applyFill="1"/>
    <xf numFmtId="169" fontId="11" fillId="2" borderId="0" xfId="0" applyNumberFormat="1" applyFont="1" applyFill="1" applyAlignment="1">
      <alignment horizontal="center"/>
    </xf>
    <xf numFmtId="0" fontId="15" fillId="3" borderId="7" xfId="0" applyFont="1" applyFill="1" applyBorder="1" applyAlignment="1">
      <alignment horizontal="center" vertical="center"/>
    </xf>
    <xf numFmtId="169" fontId="11" fillId="5" borderId="3" xfId="0" applyNumberFormat="1" applyFont="1" applyFill="1" applyBorder="1" applyAlignment="1" applyProtection="1">
      <alignment horizontal="right" vertical="center"/>
      <protection locked="0"/>
    </xf>
    <xf numFmtId="0" fontId="11" fillId="6" borderId="3" xfId="0" applyFont="1" applyFill="1" applyBorder="1" applyAlignment="1">
      <alignment horizontal="center"/>
    </xf>
    <xf numFmtId="170" fontId="11" fillId="5" borderId="3" xfId="0" applyNumberFormat="1" applyFont="1" applyFill="1" applyBorder="1" applyAlignment="1" applyProtection="1">
      <alignment horizontal="right" vertical="center"/>
      <protection locked="0"/>
    </xf>
    <xf numFmtId="169" fontId="11" fillId="5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169" fontId="16" fillId="2" borderId="0" xfId="0" applyNumberFormat="1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169" fontId="11" fillId="5" borderId="8" xfId="0" applyNumberFormat="1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Alignment="1">
      <alignment horizontal="center"/>
    </xf>
    <xf numFmtId="171" fontId="16" fillId="5" borderId="3" xfId="0" applyNumberFormat="1" applyFont="1" applyFill="1" applyBorder="1" applyAlignment="1" applyProtection="1">
      <alignment vertical="center"/>
      <protection locked="0"/>
    </xf>
    <xf numFmtId="165" fontId="11" fillId="2" borderId="0" xfId="0" applyNumberFormat="1" applyFont="1" applyFill="1"/>
    <xf numFmtId="172" fontId="11" fillId="2" borderId="0" xfId="0" applyNumberFormat="1" applyFont="1" applyFill="1"/>
    <xf numFmtId="0" fontId="20" fillId="3" borderId="3" xfId="0" applyFont="1" applyFill="1" applyBorder="1" applyAlignment="1">
      <alignment horizontal="center" vertical="center" wrapText="1"/>
    </xf>
    <xf numFmtId="169" fontId="11" fillId="5" borderId="3" xfId="0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69" fontId="22" fillId="2" borderId="0" xfId="0" applyNumberFormat="1" applyFont="1" applyFill="1" applyAlignment="1">
      <alignment horizontal="center" vertical="center"/>
    </xf>
    <xf numFmtId="3" fontId="11" fillId="7" borderId="3" xfId="0" applyNumberFormat="1" applyFont="1" applyFill="1" applyBorder="1" applyAlignment="1">
      <alignment horizontal="right" vertical="center"/>
    </xf>
    <xf numFmtId="3" fontId="11" fillId="6" borderId="3" xfId="0" applyNumberFormat="1" applyFont="1" applyFill="1" applyBorder="1" applyAlignment="1">
      <alignment horizontal="right" vertical="center"/>
    </xf>
    <xf numFmtId="173" fontId="11" fillId="6" borderId="3" xfId="0" applyNumberFormat="1" applyFont="1" applyFill="1" applyBorder="1" applyAlignment="1">
      <alignment horizontal="right" vertical="center"/>
    </xf>
    <xf numFmtId="173" fontId="11" fillId="7" borderId="3" xfId="0" applyNumberFormat="1" applyFont="1" applyFill="1" applyBorder="1" applyAlignment="1">
      <alignment horizontal="right" vertical="center"/>
    </xf>
    <xf numFmtId="170" fontId="11" fillId="6" borderId="3" xfId="0" applyNumberFormat="1" applyFont="1" applyFill="1" applyBorder="1" applyAlignment="1">
      <alignment horizontal="right" vertical="center"/>
    </xf>
    <xf numFmtId="169" fontId="11" fillId="7" borderId="3" xfId="0" applyNumberFormat="1" applyFont="1" applyFill="1" applyBorder="1" applyAlignment="1">
      <alignment horizontal="right" vertical="center"/>
    </xf>
    <xf numFmtId="169" fontId="11" fillId="6" borderId="3" xfId="0" applyNumberFormat="1" applyFont="1" applyFill="1" applyBorder="1" applyAlignment="1">
      <alignment horizontal="right" vertical="center"/>
    </xf>
    <xf numFmtId="170" fontId="11" fillId="7" borderId="3" xfId="0" applyNumberFormat="1" applyFont="1" applyFill="1" applyBorder="1" applyAlignment="1">
      <alignment horizontal="right" vertical="center"/>
    </xf>
    <xf numFmtId="165" fontId="11" fillId="2" borderId="0" xfId="1" applyFont="1" applyFill="1" applyBorder="1" applyProtection="1"/>
    <xf numFmtId="2" fontId="11" fillId="7" borderId="3" xfId="0" applyNumberFormat="1" applyFont="1" applyFill="1" applyBorder="1" applyAlignment="1">
      <alignment horizontal="center" vertical="center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6" borderId="3" xfId="0" applyNumberFormat="1" applyFont="1" applyFill="1" applyBorder="1" applyAlignment="1">
      <alignment horizontal="center" vertical="center"/>
    </xf>
    <xf numFmtId="2" fontId="15" fillId="3" borderId="3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0" fontId="11" fillId="2" borderId="0" xfId="2" applyNumberFormat="1" applyFont="1" applyFill="1" applyBorder="1" applyProtection="1"/>
    <xf numFmtId="166" fontId="12" fillId="6" borderId="5" xfId="0" applyNumberFormat="1" applyFont="1" applyFill="1" applyBorder="1" applyAlignment="1">
      <alignment horizontal="right"/>
    </xf>
    <xf numFmtId="166" fontId="12" fillId="6" borderId="5" xfId="0" applyNumberFormat="1" applyFont="1" applyFill="1" applyBorder="1"/>
    <xf numFmtId="10" fontId="13" fillId="2" borderId="0" xfId="2" applyNumberFormat="1" applyFont="1" applyFill="1" applyBorder="1" applyProtection="1"/>
    <xf numFmtId="165" fontId="13" fillId="2" borderId="0" xfId="1" applyFont="1" applyFill="1" applyBorder="1" applyProtection="1"/>
    <xf numFmtId="49" fontId="11" fillId="6" borderId="3" xfId="0" applyNumberFormat="1" applyFont="1" applyFill="1" applyBorder="1" applyAlignment="1">
      <alignment horizontal="center"/>
    </xf>
    <xf numFmtId="166" fontId="11" fillId="7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10" fontId="13" fillId="2" borderId="0" xfId="2" applyNumberFormat="1" applyFont="1" applyFill="1" applyBorder="1" applyAlignment="1" applyProtection="1">
      <alignment vertical="top"/>
    </xf>
    <xf numFmtId="165" fontId="13" fillId="2" borderId="0" xfId="1" applyFont="1" applyFill="1" applyBorder="1" applyAlignment="1" applyProtection="1">
      <alignment vertical="top"/>
    </xf>
    <xf numFmtId="166" fontId="11" fillId="6" borderId="3" xfId="0" applyNumberFormat="1" applyFont="1" applyFill="1" applyBorder="1" applyAlignment="1">
      <alignment horizontal="center"/>
    </xf>
    <xf numFmtId="0" fontId="22" fillId="2" borderId="0" xfId="0" applyFont="1" applyFill="1"/>
    <xf numFmtId="10" fontId="22" fillId="2" borderId="0" xfId="2" applyNumberFormat="1" applyFont="1" applyFill="1" applyBorder="1" applyProtection="1"/>
    <xf numFmtId="165" fontId="22" fillId="2" borderId="0" xfId="1" applyFont="1" applyFill="1" applyBorder="1" applyProtection="1"/>
    <xf numFmtId="170" fontId="11" fillId="7" borderId="3" xfId="0" applyNumberFormat="1" applyFont="1" applyFill="1" applyBorder="1" applyAlignment="1">
      <alignment horizontal="center"/>
    </xf>
    <xf numFmtId="4" fontId="11" fillId="7" borderId="3" xfId="0" applyNumberFormat="1" applyFont="1" applyFill="1" applyBorder="1" applyAlignment="1">
      <alignment horizontal="right" vertical="center"/>
    </xf>
    <xf numFmtId="4" fontId="11" fillId="6" borderId="3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/>
    </xf>
    <xf numFmtId="10" fontId="19" fillId="2" borderId="0" xfId="2" applyNumberFormat="1" applyFont="1" applyFill="1" applyBorder="1" applyProtection="1"/>
    <xf numFmtId="165" fontId="19" fillId="2" borderId="0" xfId="1" applyFont="1" applyFill="1" applyBorder="1" applyProtection="1"/>
    <xf numFmtId="0" fontId="25" fillId="2" borderId="0" xfId="0" applyFont="1" applyFill="1" applyAlignment="1">
      <alignment horizontal="left" vertical="center"/>
    </xf>
    <xf numFmtId="174" fontId="11" fillId="6" borderId="3" xfId="0" applyNumberFormat="1" applyFont="1" applyFill="1" applyBorder="1" applyAlignment="1">
      <alignment horizontal="center" vertical="center"/>
    </xf>
    <xf numFmtId="169" fontId="11" fillId="7" borderId="8" xfId="0" applyNumberFormat="1" applyFont="1" applyFill="1" applyBorder="1" applyAlignment="1">
      <alignment horizontal="right" vertical="center"/>
    </xf>
    <xf numFmtId="169" fontId="11" fillId="6" borderId="8" xfId="0" applyNumberFormat="1" applyFont="1" applyFill="1" applyBorder="1" applyAlignment="1">
      <alignment horizontal="right" vertical="center"/>
    </xf>
    <xf numFmtId="4" fontId="15" fillId="3" borderId="8" xfId="0" applyNumberFormat="1" applyFont="1" applyFill="1" applyBorder="1" applyAlignment="1">
      <alignment horizontal="right" vertical="center"/>
    </xf>
    <xf numFmtId="169" fontId="11" fillId="7" borderId="3" xfId="0" applyNumberFormat="1" applyFont="1" applyFill="1" applyBorder="1" applyAlignment="1">
      <alignment horizontal="center" vertical="center"/>
    </xf>
    <xf numFmtId="169" fontId="11" fillId="6" borderId="3" xfId="0" applyNumberFormat="1" applyFont="1" applyFill="1" applyBorder="1" applyAlignment="1">
      <alignment horizontal="center" vertical="center"/>
    </xf>
    <xf numFmtId="169" fontId="26" fillId="6" borderId="3" xfId="0" applyNumberFormat="1" applyFont="1" applyFill="1" applyBorder="1" applyAlignment="1">
      <alignment horizontal="center" vertical="center"/>
    </xf>
    <xf numFmtId="169" fontId="26" fillId="6" borderId="3" xfId="0" applyNumberFormat="1" applyFont="1" applyFill="1" applyBorder="1" applyAlignment="1">
      <alignment horizontal="right" vertical="center"/>
    </xf>
    <xf numFmtId="169" fontId="26" fillId="7" borderId="3" xfId="0" applyNumberFormat="1" applyFont="1" applyFill="1" applyBorder="1" applyAlignment="1">
      <alignment horizontal="center" vertical="center"/>
    </xf>
    <xf numFmtId="169" fontId="26" fillId="7" borderId="3" xfId="0" applyNumberFormat="1" applyFont="1" applyFill="1" applyBorder="1" applyAlignment="1">
      <alignment horizontal="right" vertical="center"/>
    </xf>
    <xf numFmtId="169" fontId="15" fillId="3" borderId="3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9" fontId="11" fillId="2" borderId="0" xfId="0" applyNumberFormat="1" applyFont="1" applyFill="1" applyAlignment="1">
      <alignment horizontal="center" vertical="center"/>
    </xf>
    <xf numFmtId="10" fontId="19" fillId="2" borderId="0" xfId="2" applyNumberFormat="1" applyFont="1" applyFill="1" applyBorder="1" applyAlignment="1" applyProtection="1">
      <alignment horizontal="center"/>
    </xf>
    <xf numFmtId="165" fontId="19" fillId="2" borderId="0" xfId="1" applyFont="1" applyFill="1" applyBorder="1" applyAlignment="1" applyProtection="1">
      <alignment horizontal="center"/>
    </xf>
    <xf numFmtId="0" fontId="12" fillId="5" borderId="3" xfId="0" applyFont="1" applyFill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1" fillId="5" borderId="3" xfId="0" applyFont="1" applyFill="1" applyBorder="1" applyAlignment="1" applyProtection="1">
      <alignment horizontal="center"/>
      <protection locked="0"/>
    </xf>
    <xf numFmtId="0" fontId="11" fillId="6" borderId="3" xfId="0" applyFont="1" applyFill="1" applyBorder="1" applyAlignment="1">
      <alignment horizontal="left"/>
    </xf>
    <xf numFmtId="0" fontId="11" fillId="5" borderId="3" xfId="0" applyFont="1" applyFill="1" applyBorder="1" applyAlignment="1" applyProtection="1">
      <alignment horizontal="right"/>
      <protection locked="0"/>
    </xf>
    <xf numFmtId="49" fontId="11" fillId="5" borderId="3" xfId="0" applyNumberFormat="1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169" fontId="11" fillId="7" borderId="3" xfId="0" applyNumberFormat="1" applyFont="1" applyFill="1" applyBorder="1" applyAlignment="1">
      <alignment horizontal="left" vertical="center" wrapText="1"/>
    </xf>
    <xf numFmtId="169" fontId="11" fillId="6" borderId="3" xfId="0" applyNumberFormat="1" applyFont="1" applyFill="1" applyBorder="1" applyAlignment="1">
      <alignment horizontal="left" vertical="center" wrapText="1"/>
    </xf>
    <xf numFmtId="169" fontId="1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3" xfId="0" applyFont="1" applyFill="1" applyBorder="1" applyAlignment="1">
      <alignment horizontal="left" vertical="center" wrapText="1"/>
    </xf>
    <xf numFmtId="4" fontId="1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3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left" wrapText="1"/>
    </xf>
    <xf numFmtId="0" fontId="11" fillId="6" borderId="3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justify" vertical="center" wrapText="1"/>
    </xf>
    <xf numFmtId="0" fontId="11" fillId="7" borderId="3" xfId="0" applyFont="1" applyFill="1" applyBorder="1" applyAlignment="1">
      <alignment horizontal="justify" vertical="center"/>
    </xf>
    <xf numFmtId="0" fontId="11" fillId="6" borderId="3" xfId="0" applyFont="1" applyFill="1" applyBorder="1" applyAlignment="1">
      <alignment horizontal="justify" vertical="center"/>
    </xf>
    <xf numFmtId="0" fontId="12" fillId="7" borderId="3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11" fillId="7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left" wrapText="1"/>
    </xf>
    <xf numFmtId="0" fontId="18" fillId="2" borderId="0" xfId="0" applyFont="1" applyFill="1" applyAlignment="1">
      <alignment horizontal="justify" vertical="center" wrapText="1"/>
    </xf>
    <xf numFmtId="4" fontId="11" fillId="6" borderId="3" xfId="0" applyNumberFormat="1" applyFont="1" applyFill="1" applyBorder="1" applyAlignment="1">
      <alignment horizontal="left" vertical="center"/>
    </xf>
    <xf numFmtId="0" fontId="26" fillId="6" borderId="3" xfId="0" applyFont="1" applyFill="1" applyBorder="1" applyAlignment="1">
      <alignment horizontal="left" vertical="center" wrapText="1" indent="1"/>
    </xf>
    <xf numFmtId="0" fontId="26" fillId="7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</cellXfs>
  <cellStyles count="12">
    <cellStyle name="Moeda" xfId="1" builtinId="4"/>
    <cellStyle name="Moeda 2" xfId="3" xr:uid="{00000000-0005-0000-0000-000006000000}"/>
    <cellStyle name="Normal" xfId="0" builtinId="0"/>
    <cellStyle name="Normal 10" xfId="4" xr:uid="{00000000-0005-0000-0000-000007000000}"/>
    <cellStyle name="Normal 2" xfId="5" xr:uid="{00000000-0005-0000-0000-000008000000}"/>
    <cellStyle name="Normal 2 2 2" xfId="6" xr:uid="{00000000-0005-0000-0000-000009000000}"/>
    <cellStyle name="Normal 2 2 2 2" xfId="7" xr:uid="{00000000-0005-0000-0000-00000A000000}"/>
    <cellStyle name="Normal 2 2 4" xfId="8" xr:uid="{00000000-0005-0000-0000-00000B000000}"/>
    <cellStyle name="Normal 4 2" xfId="9" xr:uid="{00000000-0005-0000-0000-00000C000000}"/>
    <cellStyle name="Porcentagem" xfId="2" builtinId="5"/>
    <cellStyle name="Título 1 1" xfId="10" xr:uid="{00000000-0005-0000-0000-00000D000000}"/>
    <cellStyle name="Título 1 1 1" xfId="11" xr:uid="{00000000-0005-0000-0000-00000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AB79A"/>
      <rgbColor rgb="FF808080"/>
      <rgbColor rgb="FF9999FF"/>
      <rgbColor rgb="FF953735"/>
      <rgbColor rgb="FFFDEADA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AC090"/>
      <rgbColor rgb="FF3366FF"/>
      <rgbColor rgb="FF33CCCC"/>
      <rgbColor rgb="FF99CC00"/>
      <rgbColor rgb="FFFFC000"/>
      <rgbColor rgb="FFF79646"/>
      <rgbColor rgb="FFD5581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Publico\Comercial\Comercial%202018\Propostas\PR.095.18%20-%20DF%20-%20STJ%20-%20PE%2096.2018%20-%20T&#233;cnico%20Secretariado\3%20-%20Propostas%20-%20lance\b.PR.095.18%20-%20DF%20-%20STJ%20-%20PE%2096.2018%20-%20Ajuste%20SAT%20Tax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akeline.donega\AppData\Local\Microsoft\Windows\Temporary%20Internet%20Files\Content.Outlook\Z0WBN25Q\3414_PregElet_Planilha_de_Custos%20-%20Destrava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ervices.ctis.com.br/Users/talyta.ribeiro/AppData/Local/Microsoft/Windows/Temporary%20Internet%20Files/Content.IE5/UJX2NGDC/ICD-PlanilhaPre&#231;o_v1.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ervices.ctis.com.br/_Pablo/Work%20CTIS/Ger&#234;ncia%20de%20Portf&#243;lio/2.0/PFP/Planilhas%20de%20Pre&#231;o/CC/v2/PFP%20-%20MODELO%20-%20Venda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nilce\Desktop\PR.115.19%20-%20DF%20-%20TCU%20-%20PE%2052.2019%20-%20Apoio%20Adm\3%20-%20Propostas%20-%20lance\PR.114.19%20-%20DF%20-%20TCU%20-%20PE%2052.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na.Silva\Downloads\Proposta%20Cap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RV01\Publico\Comercial\Comercial%202018\Propostas\PR.095.18%20-%20DF%20-%20STJ%20-%20PE%2096.2018%20-%20T&#233;cnico%20Secretariado\3%20-%20Propostas%20-%20lance\b.PR.095.18%20-%20DF%20-%20STJ%20-%20PE%2096.2018%20-%20Ajuste%20SAT%20Tax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:\COMERCIAL\CONTRATOS%20ATIVOS\TST%20PE%2084%202015\TST%2084%202015\PLANILHA%20DEFINITIVA%20Ajuste%2024%2011%202015\Planilha%20de%20Custos%20e%20Forma&#231;&#227;o%20de%20Pre&#231;os%20TST%20PE%20842015%20%20G&amp;E%2024%2011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âmetros (não excluir)"/>
      <sheetName val="Proposta"/>
      <sheetName val="Quadro Resumo"/>
      <sheetName val="P1"/>
      <sheetName val="Detalhamento - Mod. 2 e 3"/>
      <sheetName val="Notas Explicativas"/>
      <sheetName val="PIS-COFINS Não cumulativos"/>
      <sheetName val="Subst. Férias"/>
      <sheetName val="Conta Vinculada"/>
      <sheetName val="Equimentos e Utensílios"/>
      <sheetName val="Materiais"/>
      <sheetName val="2. Param Ger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NIVEL 1 Receptivo"/>
      <sheetName val="NIVEL 1 Ativo"/>
      <sheetName val="NIVEL 1 Aprovação "/>
      <sheetName val="NIVEL 1 Supervisão"/>
      <sheetName val="NIVEL 2 Atendimento "/>
      <sheetName val="NIVEL 2 Gerenciam Problemas"/>
      <sheetName val="NIVEL 2 Demanda Gestores"/>
      <sheetName val="NIVEL 2 Supervisão"/>
      <sheetName val="CAMPO Edserj+Ventura"/>
      <sheetName val="CAMPO Controle de Ativos"/>
      <sheetName val="CAMPO Apoio"/>
      <sheetName val="CAMPO Supervisão"/>
      <sheetName val="CAMPO Supervisão Geral"/>
      <sheetName val="REGIONAL Brasilia"/>
      <sheetName val="REGIONAL Recife"/>
      <sheetName val="REGIONAL São Paulo"/>
      <sheetName val="QUALIDADE Auditoria"/>
      <sheetName val="QUALIDADE Base de conhecimento"/>
      <sheetName val="QUALIDADE Supervisão"/>
      <sheetName val="GERENTE "/>
      <sheetName val="INFRAESTRUTURA DE TIC"/>
      <sheetName val="Valor_Global"/>
      <sheetName val="PROPOSTA DE PREÇOS"/>
      <sheetName val="Dados"/>
      <sheetName val="GSH"/>
      <sheetName val="NIVEL_1_Receptivo"/>
      <sheetName val="NIVEL_1_Ativo"/>
      <sheetName val="NIVEL_1_Aprovação_"/>
      <sheetName val="NIVEL_1_Supervisão"/>
      <sheetName val="NIVEL_2_Atendimento_"/>
      <sheetName val="NIVEL_2_Gerenciam_Problemas"/>
      <sheetName val="NIVEL_2_Demanda_Gestores"/>
      <sheetName val="NIVEL_2_Supervisão"/>
      <sheetName val="CAMPO_Edserj+Ventura"/>
      <sheetName val="CAMPO_Controle_de_Ativos"/>
      <sheetName val="CAMPO_Apoio"/>
      <sheetName val="CAMPO_Supervisão"/>
      <sheetName val="CAMPO_Supervisão_Geral"/>
      <sheetName val="REGIONAL_Brasilia"/>
      <sheetName val="REGIONAL_Recife"/>
      <sheetName val="REGIONAL_São_Paulo"/>
      <sheetName val="QUALIDADE_Auditoria"/>
      <sheetName val="QUALIDADE_Base_de_conhecimento"/>
      <sheetName val="QUALIDADE_Supervisão"/>
      <sheetName val="GERENTE_"/>
      <sheetName val="INFRAESTRUTURA_DE_TIC"/>
      <sheetName val="PROPOSTA_DE_PREÇOS"/>
      <sheetName val="NIVEL_1_Receptivo1"/>
      <sheetName val="NIVEL_1_Ativo1"/>
      <sheetName val="NIVEL_1_Aprovação_1"/>
      <sheetName val="NIVEL_1_Supervisão1"/>
      <sheetName val="NIVEL_2_Atendimento_1"/>
      <sheetName val="NIVEL_2_Gerenciam_Problemas1"/>
      <sheetName val="NIVEL_2_Demanda_Gestores1"/>
      <sheetName val="NIVEL_2_Supervisão1"/>
      <sheetName val="CAMPO_Edserj+Ventura1"/>
      <sheetName val="CAMPO_Controle_de_Ativos1"/>
      <sheetName val="CAMPO_Apoio1"/>
      <sheetName val="CAMPO_Supervisão1"/>
      <sheetName val="CAMPO_Supervisão_Geral1"/>
      <sheetName val="REGIONAL_Brasilia1"/>
      <sheetName val="REGIONAL_Recife1"/>
      <sheetName val="REGIONAL_São_Paulo1"/>
      <sheetName val="QUALIDADE_Auditoria1"/>
      <sheetName val="QUALIDADE_Base_de_conhecimento1"/>
      <sheetName val="QUALIDADE_Supervisão1"/>
      <sheetName val="GERENTE_1"/>
      <sheetName val="INFRAESTRUTURA_DE_TIC1"/>
      <sheetName val="PROPOSTA_DE_PREÇOS1"/>
      <sheetName val="NIVEL_1_Receptivo2"/>
      <sheetName val="NIVEL_1_Ativo2"/>
      <sheetName val="NIVEL_1_Aprovação_2"/>
      <sheetName val="NIVEL_1_Supervisão2"/>
      <sheetName val="NIVEL_2_Atendimento_2"/>
      <sheetName val="NIVEL_2_Gerenciam_Problemas2"/>
      <sheetName val="NIVEL_2_Demanda_Gestores2"/>
      <sheetName val="NIVEL_2_Supervisão2"/>
      <sheetName val="CAMPO_Edserj+Ventura2"/>
      <sheetName val="CAMPO_Controle_de_Ativos2"/>
      <sheetName val="CAMPO_Apoio2"/>
      <sheetName val="CAMPO_Supervisão2"/>
      <sheetName val="CAMPO_Supervisão_Geral2"/>
      <sheetName val="REGIONAL_Brasilia2"/>
      <sheetName val="REGIONAL_Recife2"/>
      <sheetName val="REGIONAL_São_Paulo2"/>
      <sheetName val="QUALIDADE_Auditoria2"/>
      <sheetName val="QUALIDADE_Base_de_conhecimento2"/>
      <sheetName val="QUALIDADE_Supervisão2"/>
      <sheetName val="GERENTE_2"/>
      <sheetName val="INFRAESTRUTURA_DE_TIC2"/>
      <sheetName val="PROPOSTA_DE_PREÇOS2"/>
      <sheetName val="NIVEL_1_Receptivo4"/>
      <sheetName val="NIVEL_1_Ativo4"/>
      <sheetName val="NIVEL_1_Aprovação_4"/>
      <sheetName val="NIVEL_1_Supervisão4"/>
      <sheetName val="NIVEL_2_Atendimento_4"/>
      <sheetName val="NIVEL_2_Gerenciam_Problemas4"/>
      <sheetName val="NIVEL_2_Demanda_Gestores4"/>
      <sheetName val="NIVEL_2_Supervisão4"/>
      <sheetName val="CAMPO_Edserj+Ventura4"/>
      <sheetName val="CAMPO_Controle_de_Ativos4"/>
      <sheetName val="CAMPO_Apoio4"/>
      <sheetName val="CAMPO_Supervisão4"/>
      <sheetName val="CAMPO_Supervisão_Geral4"/>
      <sheetName val="REGIONAL_Brasilia4"/>
      <sheetName val="REGIONAL_Recife4"/>
      <sheetName val="REGIONAL_São_Paulo4"/>
      <sheetName val="QUALIDADE_Auditoria4"/>
      <sheetName val="QUALIDADE_Base_de_conhecimento4"/>
      <sheetName val="QUALIDADE_Supervisão4"/>
      <sheetName val="GERENTE_4"/>
      <sheetName val="INFRAESTRUTURA_DE_TIC4"/>
      <sheetName val="PROPOSTA_DE_PREÇOS4"/>
      <sheetName val="NIVEL_1_Receptivo3"/>
      <sheetName val="NIVEL_1_Ativo3"/>
      <sheetName val="NIVEL_1_Aprovação_3"/>
      <sheetName val="NIVEL_1_Supervisão3"/>
      <sheetName val="NIVEL_2_Atendimento_3"/>
      <sheetName val="NIVEL_2_Gerenciam_Problemas3"/>
      <sheetName val="NIVEL_2_Demanda_Gestores3"/>
      <sheetName val="NIVEL_2_Supervisão3"/>
      <sheetName val="CAMPO_Edserj+Ventura3"/>
      <sheetName val="CAMPO_Controle_de_Ativos3"/>
      <sheetName val="CAMPO_Apoio3"/>
      <sheetName val="CAMPO_Supervisão3"/>
      <sheetName val="CAMPO_Supervisão_Geral3"/>
      <sheetName val="REGIONAL_Brasilia3"/>
      <sheetName val="REGIONAL_Recife3"/>
      <sheetName val="REGIONAL_São_Paulo3"/>
      <sheetName val="QUALIDADE_Auditoria3"/>
      <sheetName val="QUALIDADE_Base_de_conhecimento3"/>
      <sheetName val="QUALIDADE_Supervisão3"/>
      <sheetName val="GERENTE_3"/>
      <sheetName val="INFRAESTRUTURA_DE_TIC3"/>
      <sheetName val="PROPOSTA_DE_PREÇOS3"/>
      <sheetName val="NIVEL_1_Receptivo5"/>
      <sheetName val="NIVEL_1_Ativo5"/>
      <sheetName val="NIVEL_1_Aprovação_5"/>
      <sheetName val="NIVEL_1_Supervisão5"/>
      <sheetName val="NIVEL_2_Atendimento_5"/>
      <sheetName val="NIVEL_2_Gerenciam_Problemas5"/>
      <sheetName val="NIVEL_2_Demanda_Gestores5"/>
      <sheetName val="NIVEL_2_Supervisão5"/>
      <sheetName val="CAMPO_Edserj+Ventura5"/>
      <sheetName val="CAMPO_Controle_de_Ativos5"/>
      <sheetName val="CAMPO_Apoio5"/>
      <sheetName val="CAMPO_Supervisão5"/>
      <sheetName val="CAMPO_Supervisão_Geral5"/>
      <sheetName val="REGIONAL_Brasilia5"/>
      <sheetName val="REGIONAL_Recife5"/>
      <sheetName val="REGIONAL_São_Paulo5"/>
      <sheetName val="QUALIDADE_Auditoria5"/>
      <sheetName val="QUALIDADE_Base_de_conhecimento5"/>
      <sheetName val="QUALIDADE_Supervisão5"/>
      <sheetName val="GERENTE_5"/>
      <sheetName val="INFRAESTRUTURA_DE_TIC5"/>
      <sheetName val="PROPOSTA_DE_PREÇOS5"/>
      <sheetName val="NIVEL_1_Receptivo8"/>
      <sheetName val="NIVEL_1_Ativo8"/>
      <sheetName val="NIVEL_1_Aprovação_8"/>
      <sheetName val="NIVEL_1_Supervisão8"/>
      <sheetName val="NIVEL_2_Atendimento_8"/>
      <sheetName val="NIVEL_2_Gerenciam_Problemas8"/>
      <sheetName val="NIVEL_2_Demanda_Gestores8"/>
      <sheetName val="NIVEL_2_Supervisão8"/>
      <sheetName val="CAMPO_Edserj+Ventura8"/>
      <sheetName val="CAMPO_Controle_de_Ativos8"/>
      <sheetName val="CAMPO_Apoio8"/>
      <sheetName val="CAMPO_Supervisão8"/>
      <sheetName val="CAMPO_Supervisão_Geral8"/>
      <sheetName val="REGIONAL_Brasilia8"/>
      <sheetName val="REGIONAL_Recife8"/>
      <sheetName val="REGIONAL_São_Paulo8"/>
      <sheetName val="QUALIDADE_Auditoria8"/>
      <sheetName val="QUALIDADE_Base_de_conhecimento8"/>
      <sheetName val="QUALIDADE_Supervisão8"/>
      <sheetName val="GERENTE_8"/>
      <sheetName val="INFRAESTRUTURA_DE_TIC8"/>
      <sheetName val="PROPOSTA_DE_PREÇOS8"/>
      <sheetName val="NIVEL_1_Receptivo6"/>
      <sheetName val="NIVEL_1_Ativo6"/>
      <sheetName val="NIVEL_1_Aprovação_6"/>
      <sheetName val="NIVEL_1_Supervisão6"/>
      <sheetName val="NIVEL_2_Atendimento_6"/>
      <sheetName val="NIVEL_2_Gerenciam_Problemas6"/>
      <sheetName val="NIVEL_2_Demanda_Gestores6"/>
      <sheetName val="NIVEL_2_Supervisão6"/>
      <sheetName val="CAMPO_Edserj+Ventura6"/>
      <sheetName val="CAMPO_Controle_de_Ativos6"/>
      <sheetName val="CAMPO_Apoio6"/>
      <sheetName val="CAMPO_Supervisão6"/>
      <sheetName val="CAMPO_Supervisão_Geral6"/>
      <sheetName val="REGIONAL_Brasilia6"/>
      <sheetName val="REGIONAL_Recife6"/>
      <sheetName val="REGIONAL_São_Paulo6"/>
      <sheetName val="QUALIDADE_Auditoria6"/>
      <sheetName val="QUALIDADE_Base_de_conhecimento6"/>
      <sheetName val="QUALIDADE_Supervisão6"/>
      <sheetName val="GERENTE_6"/>
      <sheetName val="INFRAESTRUTURA_DE_TIC6"/>
      <sheetName val="PROPOSTA_DE_PREÇOS6"/>
      <sheetName val="NIVEL_1_Receptivo7"/>
      <sheetName val="NIVEL_1_Ativo7"/>
      <sheetName val="NIVEL_1_Aprovação_7"/>
      <sheetName val="NIVEL_1_Supervisão7"/>
      <sheetName val="NIVEL_2_Atendimento_7"/>
      <sheetName val="NIVEL_2_Gerenciam_Problemas7"/>
      <sheetName val="NIVEL_2_Demanda_Gestores7"/>
      <sheetName val="NIVEL_2_Supervisão7"/>
      <sheetName val="CAMPO_Edserj+Ventura7"/>
      <sheetName val="CAMPO_Controle_de_Ativos7"/>
      <sheetName val="CAMPO_Apoio7"/>
      <sheetName val="CAMPO_Supervisão7"/>
      <sheetName val="CAMPO_Supervisão_Geral7"/>
      <sheetName val="REGIONAL_Brasilia7"/>
      <sheetName val="REGIONAL_Recife7"/>
      <sheetName val="REGIONAL_São_Paulo7"/>
      <sheetName val="QUALIDADE_Auditoria7"/>
      <sheetName val="QUALIDADE_Base_de_conhecimento7"/>
      <sheetName val="QUALIDADE_Supervisão7"/>
      <sheetName val="GERENTE_7"/>
      <sheetName val="INFRAESTRUTURA_DE_TIC7"/>
      <sheetName val="PROPOSTA_DE_PREÇOS7"/>
      <sheetName val="Parâmetros (não exclui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rgos"/>
      <sheetName val="0.Instruções"/>
      <sheetName val="1.Identificação"/>
      <sheetName val="2. Param Gerais"/>
      <sheetName val="2.1 Parametros Negócio"/>
      <sheetName val="3.RH-Escala"/>
      <sheetName val="3.RH-Pessoal"/>
      <sheetName val="4. Negócio-Escopo"/>
      <sheetName val="4.1.Escopo"/>
      <sheetName val="4.2.Negocio-PSI"/>
      <sheetName val="4.3.Negocio-MI"/>
      <sheetName val="4.4.Insumos"/>
      <sheetName val="4.5.Análise"/>
      <sheetName val="5.Resumo"/>
      <sheetName val="BID"/>
      <sheetName val="FAP"/>
      <sheetName val="Parâmetros"/>
      <sheetName val="0_Instruções"/>
      <sheetName val="1_Identificação"/>
      <sheetName val="2__Param_Gerais"/>
      <sheetName val="2_1_Parametros_Negócio"/>
      <sheetName val="3_RH-Escala"/>
      <sheetName val="3_RH-Pessoal"/>
      <sheetName val="4__Negócio-Escopo"/>
      <sheetName val="4_1_Escopo"/>
      <sheetName val="4_2_Negocio-PSI"/>
      <sheetName val="4_3_Negocio-MI"/>
      <sheetName val="4_4_Insumos"/>
      <sheetName val="4_5_Análise"/>
      <sheetName val="5_Resumo"/>
      <sheetName val="0_Instruções1"/>
      <sheetName val="1_Identificação1"/>
      <sheetName val="2__Param_Gerais1"/>
      <sheetName val="2_1_Parametros_Negócio1"/>
      <sheetName val="3_RH-Escala1"/>
      <sheetName val="3_RH-Pessoal1"/>
      <sheetName val="4__Negócio-Escopo1"/>
      <sheetName val="4_1_Escopo1"/>
      <sheetName val="4_2_Negocio-PSI1"/>
      <sheetName val="4_3_Negocio-MI1"/>
      <sheetName val="4_4_Insumos1"/>
      <sheetName val="4_5_Análise1"/>
      <sheetName val="5_Resumo1"/>
      <sheetName val="0_Instruções2"/>
      <sheetName val="1_Identificação2"/>
      <sheetName val="2__Param_Gerais2"/>
      <sheetName val="2_1_Parametros_Negócio2"/>
      <sheetName val="3_RH-Escala2"/>
      <sheetName val="3_RH-Pessoal2"/>
      <sheetName val="4__Negócio-Escopo2"/>
      <sheetName val="4_1_Escopo2"/>
      <sheetName val="4_2_Negocio-PSI2"/>
      <sheetName val="4_3_Negocio-MI2"/>
      <sheetName val="4_4_Insumos2"/>
      <sheetName val="4_5_Análise2"/>
      <sheetName val="5_Resumo2"/>
      <sheetName val="0_Instruções4"/>
      <sheetName val="1_Identificação4"/>
      <sheetName val="2__Param_Gerais4"/>
      <sheetName val="2_1_Parametros_Negócio4"/>
      <sheetName val="3_RH-Escala4"/>
      <sheetName val="3_RH-Pessoal4"/>
      <sheetName val="4__Negócio-Escopo4"/>
      <sheetName val="4_1_Escopo4"/>
      <sheetName val="4_2_Negocio-PSI4"/>
      <sheetName val="4_3_Negocio-MI4"/>
      <sheetName val="4_4_Insumos4"/>
      <sheetName val="4_5_Análise4"/>
      <sheetName val="5_Resumo4"/>
      <sheetName val="0_Instruções3"/>
      <sheetName val="1_Identificação3"/>
      <sheetName val="2__Param_Gerais3"/>
      <sheetName val="2_1_Parametros_Negócio3"/>
      <sheetName val="3_RH-Escala3"/>
      <sheetName val="3_RH-Pessoal3"/>
      <sheetName val="4__Negócio-Escopo3"/>
      <sheetName val="4_1_Escopo3"/>
      <sheetName val="4_2_Negocio-PSI3"/>
      <sheetName val="4_3_Negocio-MI3"/>
      <sheetName val="4_4_Insumos3"/>
      <sheetName val="4_5_Análise3"/>
      <sheetName val="5_Resumo3"/>
      <sheetName val="0_Instruções5"/>
      <sheetName val="1_Identificação5"/>
      <sheetName val="2__Param_Gerais5"/>
      <sheetName val="2_1_Parametros_Negócio5"/>
      <sheetName val="3_RH-Escala5"/>
      <sheetName val="3_RH-Pessoal5"/>
      <sheetName val="4__Negócio-Escopo5"/>
      <sheetName val="4_1_Escopo5"/>
      <sheetName val="4_2_Negocio-PSI5"/>
      <sheetName val="4_3_Negocio-MI5"/>
      <sheetName val="4_4_Insumos5"/>
      <sheetName val="4_5_Análise5"/>
      <sheetName val="5_Resumo5"/>
      <sheetName val="0_Instruções8"/>
      <sheetName val="1_Identificação8"/>
      <sheetName val="2__Param_Gerais8"/>
      <sheetName val="2_1_Parametros_Negócio8"/>
      <sheetName val="3_RH-Escala8"/>
      <sheetName val="3_RH-Pessoal8"/>
      <sheetName val="4__Negócio-Escopo8"/>
      <sheetName val="4_1_Escopo8"/>
      <sheetName val="4_2_Negocio-PSI8"/>
      <sheetName val="4_3_Negocio-MI8"/>
      <sheetName val="4_4_Insumos8"/>
      <sheetName val="4_5_Análise8"/>
      <sheetName val="5_Resumo8"/>
      <sheetName val="0_Instruções6"/>
      <sheetName val="1_Identificação6"/>
      <sheetName val="2__Param_Gerais6"/>
      <sheetName val="2_1_Parametros_Negócio6"/>
      <sheetName val="3_RH-Escala6"/>
      <sheetName val="3_RH-Pessoal6"/>
      <sheetName val="4__Negócio-Escopo6"/>
      <sheetName val="4_1_Escopo6"/>
      <sheetName val="4_2_Negocio-PSI6"/>
      <sheetName val="4_3_Negocio-MI6"/>
      <sheetName val="4_4_Insumos6"/>
      <sheetName val="4_5_Análise6"/>
      <sheetName val="5_Resumo6"/>
      <sheetName val="0_Instruções7"/>
      <sheetName val="1_Identificação7"/>
      <sheetName val="2__Param_Gerais7"/>
      <sheetName val="2_1_Parametros_Negócio7"/>
      <sheetName val="3_RH-Escala7"/>
      <sheetName val="3_RH-Pessoal7"/>
      <sheetName val="4__Negócio-Escopo7"/>
      <sheetName val="4_1_Escopo7"/>
      <sheetName val="4_2_Negocio-PSI7"/>
      <sheetName val="4_3_Negocio-MI7"/>
      <sheetName val="4_4_Insumos7"/>
      <sheetName val="4_5_Análise7"/>
      <sheetName val="5_Resumo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Parâmetros"/>
      <sheetName val="Menu"/>
      <sheetName val="FAP"/>
      <sheetName val="Escopo"/>
      <sheetName val="Detalhamento do escopo"/>
      <sheetName val="Rateio"/>
      <sheetName val="Encargos Sociais"/>
      <sheetName val="Pessoas"/>
      <sheetName val="Pregão"/>
      <sheetName val="Conven. - Sindic."/>
      <sheetName val="Parecer tributário"/>
      <sheetName val="Documentos"/>
      <sheetName val="Cotações"/>
      <sheetName val="Implantação"/>
      <sheetName val="Desmobilização"/>
      <sheetName val="2. Param Gerais"/>
      <sheetName val="Detalhamento_do_escopo"/>
      <sheetName val="Encargos_Sociais"/>
      <sheetName val="Conven__-_Sindic_"/>
      <sheetName val="Parecer_tributário"/>
      <sheetName val="2__Param_Gerais"/>
      <sheetName val="G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Resumo de Custos"/>
      <sheetName val="1.Encarregado"/>
      <sheetName val="2.Supervisor"/>
      <sheetName val="3.Recepção I"/>
      <sheetName val="4.Recepção II"/>
      <sheetName val="5.Recepção12x36 Diurno"/>
      <sheetName val="6.Recepção 12x36 Noturno"/>
      <sheetName val="7.Recepção Insal."/>
      <sheetName val="8.Garçom"/>
      <sheetName val="9.Telefonista"/>
      <sheetName val="10.Ascensorista"/>
      <sheetName val="11.Motorista"/>
      <sheetName val="12.Recepçao(Diária)"/>
      <sheetName val="13.Garçom (Diária) "/>
      <sheetName val="Uniformes "/>
      <sheetName val="Insumos Garçom"/>
      <sheetName val="Mat. Garçom"/>
      <sheetName val="Utensílios Garçom"/>
      <sheetName val="Materiais Recep."/>
      <sheetName val="Outros Órgãos"/>
      <sheetName val="Dados - Não mexer"/>
      <sheetName val="2. Param Ger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RESUMO"/>
      <sheetName val="INSERÇÃO-DE-DADOS (ISS 5%)"/>
      <sheetName val="DADOS-ESTATISTICOS"/>
      <sheetName val="ENCARGOS-SOCIAIS-E-TRABALHISTAS"/>
      <sheetName val="ASG"/>
      <sheetName val="MENSAGEIRO (5%)"/>
      <sheetName val="MENSAGEIRO (3%)"/>
      <sheetName val="MENSAGEIRO (2%)"/>
      <sheetName val="AUX. ALMOX."/>
      <sheetName val="FATURISTA"/>
      <sheetName val="AUX. ADM."/>
      <sheetName val="LÍDER"/>
      <sheetName val="UNIFORME"/>
      <sheetName val="EQUIPAMENTO"/>
      <sheetName val="INSERÇÃO-DE-DADOS_(ISS_5%)"/>
      <sheetName val="MENSAGEIRO_(5%)"/>
      <sheetName val="MENSAGEIRO_(3%)"/>
      <sheetName val="MENSAGEIRO_(2%)"/>
      <sheetName val="AUX__ALMOX_"/>
      <sheetName val="AUX__ADM_"/>
      <sheetName val="horas,vt,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âmetros (não excluir)"/>
      <sheetName val="FAP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io"/>
      <sheetName val="RESUMO TJDFT"/>
      <sheetName val="Dados Contratação"/>
      <sheetName val="Dados Proponente"/>
      <sheetName val="Insumos"/>
      <sheetName val="Copeiro"/>
      <sheetName val="Garçom"/>
      <sheetName val="Chefe de cozinha"/>
      <sheetName val="Ajudante de Cozinha"/>
      <sheetName val="Almoxarife"/>
      <sheetName val="Nutricionista"/>
      <sheetName val="Supervisor"/>
      <sheetName val="Encarregado Geral"/>
      <sheetName val="Hrs excedentes"/>
      <sheetName val="Valor Global"/>
      <sheetName val="Plan1"/>
      <sheetName val="Proposta"/>
      <sheetName val="Dados - Não mex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4"/>
  <sheetViews>
    <sheetView view="pageBreakPreview" topLeftCell="A24" zoomScaleNormal="100" workbookViewId="0">
      <selection activeCell="F69" sqref="F69"/>
    </sheetView>
  </sheetViews>
  <sheetFormatPr defaultColWidth="9.140625" defaultRowHeight="16.5" x14ac:dyDescent="0.3"/>
  <cols>
    <col min="1" max="1" width="2.7109375" style="14" customWidth="1"/>
    <col min="2" max="2" width="8.85546875" style="14" customWidth="1"/>
    <col min="3" max="3" width="52.5703125" style="14" customWidth="1"/>
    <col min="4" max="4" width="9.5703125" style="14" customWidth="1"/>
    <col min="5" max="5" width="13.5703125" style="14" customWidth="1"/>
    <col min="6" max="6" width="15.42578125" style="14" customWidth="1"/>
    <col min="7" max="7" width="9.140625" style="14"/>
    <col min="8" max="8" width="13.5703125" style="14" customWidth="1"/>
    <col min="9" max="16384" width="9.140625" style="14"/>
  </cols>
  <sheetData>
    <row r="1" spans="2:6" ht="13.5" customHeight="1" x14ac:dyDescent="0.35">
      <c r="B1" s="126" t="s">
        <v>0</v>
      </c>
      <c r="C1" s="126"/>
      <c r="D1" s="126"/>
      <c r="E1" s="126"/>
      <c r="F1" s="126"/>
    </row>
    <row r="2" spans="2:6" ht="20.25" x14ac:dyDescent="0.35">
      <c r="B2" s="126" t="s">
        <v>1</v>
      </c>
      <c r="C2" s="126"/>
      <c r="D2" s="126"/>
      <c r="E2" s="15" t="s">
        <v>2</v>
      </c>
      <c r="F2" s="16">
        <v>45580</v>
      </c>
    </row>
    <row r="3" spans="2:6" ht="7.5" customHeight="1" x14ac:dyDescent="0.3">
      <c r="B3" s="17"/>
      <c r="C3" s="17"/>
      <c r="D3" s="17"/>
      <c r="E3" s="17"/>
      <c r="F3" s="17"/>
    </row>
    <row r="4" spans="2:6" s="17" customFormat="1" ht="25.5" x14ac:dyDescent="0.5">
      <c r="B4" s="127" t="s">
        <v>3</v>
      </c>
      <c r="C4" s="127"/>
      <c r="D4" s="127"/>
      <c r="E4" s="127"/>
      <c r="F4" s="127"/>
    </row>
    <row r="5" spans="2:6" s="17" customFormat="1" ht="15.75" customHeight="1" x14ac:dyDescent="0.3">
      <c r="B5" s="128" t="s">
        <v>4</v>
      </c>
      <c r="C5" s="128"/>
      <c r="D5" s="128"/>
      <c r="E5" s="128"/>
      <c r="F5" s="128"/>
    </row>
    <row r="6" spans="2:6" s="17" customFormat="1" ht="15.75" customHeight="1" x14ac:dyDescent="0.3">
      <c r="B6" s="129" t="s">
        <v>5</v>
      </c>
      <c r="C6" s="129"/>
      <c r="D6" s="130" t="s">
        <v>6</v>
      </c>
      <c r="E6" s="130"/>
      <c r="F6" s="130"/>
    </row>
    <row r="7" spans="2:6" s="17" customFormat="1" ht="15.75" customHeight="1" x14ac:dyDescent="0.3">
      <c r="B7" s="131" t="s">
        <v>7</v>
      </c>
      <c r="C7" s="131"/>
      <c r="D7" s="132" t="s">
        <v>8</v>
      </c>
      <c r="E7" s="132"/>
      <c r="F7" s="18" t="s">
        <v>9</v>
      </c>
    </row>
    <row r="8" spans="2:6" s="17" customFormat="1" ht="15.75" customHeight="1" x14ac:dyDescent="0.3">
      <c r="B8" s="129" t="s">
        <v>10</v>
      </c>
      <c r="C8" s="129"/>
      <c r="D8" s="133" t="s">
        <v>11</v>
      </c>
      <c r="E8" s="133"/>
      <c r="F8" s="18" t="s">
        <v>12</v>
      </c>
    </row>
    <row r="9" spans="2:6" s="17" customFormat="1" ht="9.75" customHeight="1" x14ac:dyDescent="0.3">
      <c r="C9" s="19"/>
      <c r="D9" s="20"/>
      <c r="E9" s="20"/>
      <c r="F9" s="21"/>
    </row>
    <row r="10" spans="2:6" s="17" customFormat="1" ht="15.75" customHeight="1" x14ac:dyDescent="0.3">
      <c r="B10" s="128" t="s">
        <v>13</v>
      </c>
      <c r="C10" s="128"/>
      <c r="D10" s="128"/>
      <c r="E10" s="128"/>
      <c r="F10" s="128"/>
    </row>
    <row r="11" spans="2:6" s="17" customFormat="1" ht="18" customHeight="1" x14ac:dyDescent="0.3">
      <c r="B11" s="22" t="s">
        <v>14</v>
      </c>
      <c r="C11" s="129" t="s">
        <v>15</v>
      </c>
      <c r="D11" s="129"/>
      <c r="E11" s="129"/>
      <c r="F11" s="23" t="str">
        <f>DATA_LICITACAO</f>
        <v>XX/XX/XXXX</v>
      </c>
    </row>
    <row r="12" spans="2:6" s="17" customFormat="1" ht="15.75" customHeight="1" x14ac:dyDescent="0.15">
      <c r="B12" s="24" t="s">
        <v>16</v>
      </c>
      <c r="C12" s="25" t="s">
        <v>17</v>
      </c>
      <c r="D12" s="134" t="s">
        <v>18</v>
      </c>
      <c r="E12" s="134"/>
      <c r="F12" s="134"/>
    </row>
    <row r="13" spans="2:6" s="17" customFormat="1" ht="15.75" customHeight="1" x14ac:dyDescent="0.3">
      <c r="B13" s="22" t="s">
        <v>19</v>
      </c>
      <c r="C13" s="129" t="s">
        <v>20</v>
      </c>
      <c r="D13" s="129"/>
      <c r="E13" s="129"/>
      <c r="F13" s="26" t="s">
        <v>21</v>
      </c>
    </row>
    <row r="14" spans="2:6" s="17" customFormat="1" ht="18.75" customHeight="1" x14ac:dyDescent="0.3">
      <c r="B14" s="24" t="s">
        <v>22</v>
      </c>
      <c r="C14" s="135" t="s">
        <v>23</v>
      </c>
      <c r="D14" s="135"/>
      <c r="E14" s="135"/>
      <c r="F14" s="18" t="s">
        <v>24</v>
      </c>
    </row>
    <row r="15" spans="2:6" s="17" customFormat="1" ht="15.75" customHeight="1" x14ac:dyDescent="0.3">
      <c r="B15" s="24" t="s">
        <v>25</v>
      </c>
      <c r="C15" s="129" t="s">
        <v>26</v>
      </c>
      <c r="D15" s="129"/>
      <c r="E15" s="129"/>
      <c r="F15" s="28">
        <v>12</v>
      </c>
    </row>
    <row r="16" spans="2:6" s="17" customFormat="1" ht="7.5" customHeight="1" x14ac:dyDescent="0.3">
      <c r="C16" s="19"/>
      <c r="D16" s="20"/>
      <c r="E16" s="20"/>
      <c r="F16" s="21"/>
    </row>
    <row r="17" spans="2:6" s="17" customFormat="1" x14ac:dyDescent="0.3">
      <c r="B17" s="128" t="s">
        <v>27</v>
      </c>
      <c r="C17" s="128"/>
      <c r="D17" s="128"/>
      <c r="E17" s="128"/>
      <c r="F17" s="128"/>
    </row>
    <row r="18" spans="2:6" s="29" customFormat="1" ht="49.5" x14ac:dyDescent="0.2">
      <c r="B18" s="30" t="s">
        <v>28</v>
      </c>
      <c r="C18" s="30" t="s">
        <v>29</v>
      </c>
      <c r="D18" s="31" t="s">
        <v>30</v>
      </c>
      <c r="E18" s="31" t="s">
        <v>31</v>
      </c>
      <c r="F18" s="31" t="s">
        <v>32</v>
      </c>
    </row>
    <row r="19" spans="2:6" s="17" customFormat="1" ht="16.5" customHeight="1" x14ac:dyDescent="0.3">
      <c r="B19" s="22">
        <v>1</v>
      </c>
      <c r="C19" s="32" t="s">
        <v>33</v>
      </c>
      <c r="D19" s="33" t="s">
        <v>34</v>
      </c>
      <c r="E19" s="26">
        <v>1</v>
      </c>
      <c r="F19" s="33">
        <v>2</v>
      </c>
    </row>
    <row r="20" spans="2:6" s="17" customFormat="1" ht="15.75" customHeight="1" x14ac:dyDescent="0.3">
      <c r="B20" s="34"/>
      <c r="C20" s="34"/>
      <c r="D20" s="34"/>
      <c r="E20" s="34"/>
      <c r="F20" s="34"/>
    </row>
    <row r="21" spans="2:6" s="17" customFormat="1" ht="15" customHeight="1" x14ac:dyDescent="0.3">
      <c r="B21" s="128" t="s">
        <v>35</v>
      </c>
      <c r="C21" s="128"/>
      <c r="D21" s="128"/>
      <c r="E21" s="128"/>
      <c r="F21" s="128"/>
    </row>
    <row r="22" spans="2:6" s="17" customFormat="1" ht="15" customHeight="1" x14ac:dyDescent="0.3">
      <c r="B22" s="22">
        <v>1</v>
      </c>
      <c r="C22" s="35" t="s">
        <v>36</v>
      </c>
      <c r="D22" s="130" t="s">
        <v>37</v>
      </c>
      <c r="E22" s="130"/>
      <c r="F22" s="130"/>
    </row>
    <row r="23" spans="2:6" s="17" customFormat="1" ht="15.75" customHeight="1" x14ac:dyDescent="0.3">
      <c r="B23" s="22">
        <v>2</v>
      </c>
      <c r="C23" s="36" t="s">
        <v>38</v>
      </c>
      <c r="D23" s="130" t="s">
        <v>33</v>
      </c>
      <c r="E23" s="130"/>
      <c r="F23" s="130"/>
    </row>
    <row r="24" spans="2:6" s="17" customFormat="1" ht="15.75" customHeight="1" x14ac:dyDescent="0.3">
      <c r="B24" s="22">
        <v>3</v>
      </c>
      <c r="C24" s="129" t="s">
        <v>39</v>
      </c>
      <c r="D24" s="129"/>
      <c r="E24" s="129"/>
      <c r="F24" s="23">
        <v>45292</v>
      </c>
    </row>
    <row r="25" spans="2:6" s="17" customFormat="1" ht="15.75" customHeight="1" x14ac:dyDescent="0.3">
      <c r="B25" s="22">
        <v>4</v>
      </c>
      <c r="C25" s="131" t="s">
        <v>40</v>
      </c>
      <c r="D25" s="131"/>
      <c r="E25" s="131"/>
      <c r="F25" s="37">
        <v>1412</v>
      </c>
    </row>
    <row r="26" spans="2:6" s="17" customFormat="1" ht="14.25" customHeight="1" x14ac:dyDescent="0.3">
      <c r="B26" s="38"/>
      <c r="C26" s="39"/>
      <c r="D26" s="39"/>
      <c r="E26" s="39"/>
      <c r="F26" s="40"/>
    </row>
    <row r="27" spans="2:6" s="17" customFormat="1" ht="25.5" x14ac:dyDescent="0.5">
      <c r="B27" s="41" t="s">
        <v>41</v>
      </c>
      <c r="C27" s="14"/>
      <c r="D27" s="14"/>
      <c r="E27" s="14"/>
      <c r="F27" s="14"/>
    </row>
    <row r="28" spans="2:6" x14ac:dyDescent="0.3">
      <c r="B28" s="42" t="s">
        <v>42</v>
      </c>
      <c r="E28" s="43"/>
      <c r="F28" s="43"/>
    </row>
    <row r="29" spans="2:6" ht="16.5" customHeight="1" x14ac:dyDescent="0.3">
      <c r="B29" s="24">
        <v>1</v>
      </c>
      <c r="C29" s="136" t="s">
        <v>43</v>
      </c>
      <c r="D29" s="136"/>
      <c r="E29" s="136"/>
      <c r="F29" s="44" t="s">
        <v>44</v>
      </c>
    </row>
    <row r="30" spans="2:6" ht="16.5" customHeight="1" x14ac:dyDescent="0.3">
      <c r="B30" s="24" t="s">
        <v>14</v>
      </c>
      <c r="C30" s="137" t="s">
        <v>45</v>
      </c>
      <c r="D30" s="137"/>
      <c r="E30" s="137"/>
      <c r="F30" s="45">
        <v>6472.84</v>
      </c>
    </row>
    <row r="31" spans="2:6" ht="16.5" customHeight="1" x14ac:dyDescent="0.3">
      <c r="B31" s="24" t="s">
        <v>16</v>
      </c>
      <c r="C31" s="135" t="s">
        <v>46</v>
      </c>
      <c r="D31" s="135"/>
      <c r="E31" s="135"/>
      <c r="F31" s="46"/>
    </row>
    <row r="32" spans="2:6" ht="16.5" customHeight="1" x14ac:dyDescent="0.3">
      <c r="B32" s="24" t="s">
        <v>19</v>
      </c>
      <c r="C32" s="137" t="s">
        <v>47</v>
      </c>
      <c r="D32" s="137"/>
      <c r="E32" s="137"/>
      <c r="F32" s="46"/>
    </row>
    <row r="33" spans="1:6" ht="16.5" customHeight="1" x14ac:dyDescent="0.3">
      <c r="B33" s="24" t="s">
        <v>22</v>
      </c>
      <c r="C33" s="138" t="s">
        <v>48</v>
      </c>
      <c r="D33" s="138"/>
      <c r="E33" s="138"/>
      <c r="F33" s="46"/>
    </row>
    <row r="34" spans="1:6" ht="16.5" customHeight="1" x14ac:dyDescent="0.3">
      <c r="B34" s="24" t="s">
        <v>25</v>
      </c>
      <c r="C34" s="139" t="s">
        <v>49</v>
      </c>
      <c r="D34" s="139"/>
      <c r="E34" s="139"/>
      <c r="F34" s="47"/>
    </row>
    <row r="35" spans="1:6" ht="16.5" customHeight="1" x14ac:dyDescent="0.3">
      <c r="B35" s="24" t="s">
        <v>50</v>
      </c>
      <c r="C35" s="139" t="s">
        <v>51</v>
      </c>
      <c r="D35" s="139"/>
      <c r="E35" s="139"/>
      <c r="F35" s="47"/>
    </row>
    <row r="36" spans="1:6" ht="16.5" customHeight="1" x14ac:dyDescent="0.3">
      <c r="B36" s="24" t="s">
        <v>52</v>
      </c>
      <c r="C36" s="139" t="s">
        <v>53</v>
      </c>
      <c r="D36" s="139"/>
      <c r="E36" s="139"/>
      <c r="F36" s="47"/>
    </row>
    <row r="37" spans="1:6" s="48" customFormat="1" x14ac:dyDescent="0.3"/>
    <row r="38" spans="1:6" s="48" customFormat="1" x14ac:dyDescent="0.3">
      <c r="A38" s="14"/>
      <c r="B38" s="42" t="s">
        <v>54</v>
      </c>
      <c r="C38" s="14"/>
      <c r="D38" s="14"/>
      <c r="E38" s="49"/>
      <c r="F38" s="49"/>
    </row>
    <row r="39" spans="1:6" s="48" customFormat="1" x14ac:dyDescent="0.3">
      <c r="A39" s="14"/>
      <c r="B39" s="42" t="s">
        <v>55</v>
      </c>
      <c r="C39" s="17"/>
      <c r="D39" s="17"/>
      <c r="E39" s="17"/>
      <c r="F39" s="17"/>
    </row>
    <row r="40" spans="1:6" s="48" customFormat="1" ht="15" customHeight="1" x14ac:dyDescent="0.3">
      <c r="A40" s="14"/>
      <c r="B40" s="24" t="s">
        <v>56</v>
      </c>
      <c r="C40" s="136" t="s">
        <v>57</v>
      </c>
      <c r="D40" s="136"/>
      <c r="E40" s="44" t="s">
        <v>58</v>
      </c>
      <c r="F40" s="44" t="s">
        <v>59</v>
      </c>
    </row>
    <row r="41" spans="1:6" s="48" customFormat="1" x14ac:dyDescent="0.3">
      <c r="A41" s="14"/>
      <c r="B41" s="50" t="s">
        <v>14</v>
      </c>
      <c r="C41" s="129" t="s">
        <v>60</v>
      </c>
      <c r="D41" s="129"/>
      <c r="E41" s="28" t="s">
        <v>61</v>
      </c>
      <c r="F41" s="51">
        <v>11</v>
      </c>
    </row>
    <row r="42" spans="1:6" s="48" customFormat="1" x14ac:dyDescent="0.3">
      <c r="B42" s="50" t="s">
        <v>16</v>
      </c>
      <c r="C42" s="131" t="s">
        <v>62</v>
      </c>
      <c r="D42" s="131"/>
      <c r="E42" s="52" t="s">
        <v>61</v>
      </c>
      <c r="F42" s="51">
        <v>43.5</v>
      </c>
    </row>
    <row r="43" spans="1:6" s="48" customFormat="1" x14ac:dyDescent="0.3">
      <c r="B43" s="50" t="s">
        <v>19</v>
      </c>
      <c r="C43" s="129" t="s">
        <v>63</v>
      </c>
      <c r="D43" s="129"/>
      <c r="E43" s="28" t="s">
        <v>64</v>
      </c>
      <c r="F43" s="53">
        <v>22</v>
      </c>
    </row>
    <row r="44" spans="1:6" ht="16.5" customHeight="1" x14ac:dyDescent="0.3">
      <c r="B44" s="50" t="s">
        <v>22</v>
      </c>
      <c r="C44" s="139" t="s">
        <v>65</v>
      </c>
      <c r="D44" s="139"/>
      <c r="E44" s="54"/>
      <c r="F44" s="47">
        <v>3.9</v>
      </c>
    </row>
    <row r="45" spans="1:6" ht="16.5" customHeight="1" x14ac:dyDescent="0.3">
      <c r="B45" s="50" t="s">
        <v>25</v>
      </c>
      <c r="C45" s="140" t="s">
        <v>66</v>
      </c>
      <c r="D45" s="140"/>
      <c r="E45" s="54"/>
      <c r="F45" s="47">
        <v>0</v>
      </c>
    </row>
    <row r="46" spans="1:6" ht="16.5" customHeight="1" x14ac:dyDescent="0.3">
      <c r="B46" s="50" t="s">
        <v>50</v>
      </c>
      <c r="C46" s="139" t="s">
        <v>67</v>
      </c>
      <c r="D46" s="139"/>
      <c r="E46" s="54"/>
      <c r="F46" s="47"/>
    </row>
    <row r="47" spans="1:6" s="48" customFormat="1" x14ac:dyDescent="0.3"/>
    <row r="48" spans="1:6" s="17" customFormat="1" x14ac:dyDescent="0.3">
      <c r="B48" s="42" t="s">
        <v>68</v>
      </c>
      <c r="C48" s="55"/>
      <c r="D48" s="56"/>
      <c r="E48" s="14"/>
      <c r="F48" s="14"/>
    </row>
    <row r="49" spans="1:6" s="17" customFormat="1" ht="15" customHeight="1" x14ac:dyDescent="0.3">
      <c r="B49" s="42" t="s">
        <v>69</v>
      </c>
      <c r="C49" s="55"/>
      <c r="D49" s="56"/>
      <c r="E49" s="57"/>
      <c r="F49" s="57"/>
    </row>
    <row r="50" spans="1:6" ht="16.5" customHeight="1" x14ac:dyDescent="0.3">
      <c r="A50" s="17"/>
      <c r="B50" s="24" t="s">
        <v>70</v>
      </c>
      <c r="C50" s="136" t="s">
        <v>71</v>
      </c>
      <c r="D50" s="136"/>
      <c r="E50" s="136"/>
      <c r="F50" s="44" t="s">
        <v>72</v>
      </c>
    </row>
    <row r="51" spans="1:6" s="48" customFormat="1" ht="16.5" customHeight="1" x14ac:dyDescent="0.3">
      <c r="B51" s="44" t="s">
        <v>14</v>
      </c>
      <c r="C51" s="141" t="s">
        <v>73</v>
      </c>
      <c r="D51" s="141"/>
      <c r="E51" s="141"/>
      <c r="F51" s="51"/>
    </row>
    <row r="52" spans="1:6" x14ac:dyDescent="0.3">
      <c r="B52" s="48"/>
      <c r="C52" s="48"/>
      <c r="D52" s="48"/>
      <c r="E52" s="48"/>
      <c r="F52" s="48"/>
    </row>
    <row r="53" spans="1:6" x14ac:dyDescent="0.3">
      <c r="B53" s="42" t="s">
        <v>74</v>
      </c>
      <c r="C53" s="55"/>
      <c r="D53" s="56"/>
      <c r="E53" s="57"/>
      <c r="F53" s="57"/>
    </row>
    <row r="54" spans="1:6" x14ac:dyDescent="0.3">
      <c r="B54" s="24" t="s">
        <v>75</v>
      </c>
      <c r="C54" s="142" t="s">
        <v>76</v>
      </c>
      <c r="D54" s="142"/>
      <c r="E54" s="142"/>
      <c r="F54" s="44" t="s">
        <v>77</v>
      </c>
    </row>
    <row r="55" spans="1:6" ht="15" customHeight="1" x14ac:dyDescent="0.3">
      <c r="B55" s="24" t="s">
        <v>14</v>
      </c>
      <c r="C55" s="137" t="s">
        <v>78</v>
      </c>
      <c r="D55" s="137"/>
      <c r="E55" s="137"/>
      <c r="F55" s="46"/>
    </row>
    <row r="56" spans="1:6" s="48" customFormat="1" ht="16.5" customHeight="1" x14ac:dyDescent="0.3">
      <c r="B56" s="24" t="s">
        <v>16</v>
      </c>
      <c r="C56" s="135" t="s">
        <v>79</v>
      </c>
      <c r="D56" s="135"/>
      <c r="E56" s="135"/>
      <c r="F56" s="46"/>
    </row>
    <row r="57" spans="1:6" x14ac:dyDescent="0.3">
      <c r="B57" s="48"/>
      <c r="C57" s="48"/>
      <c r="D57" s="48"/>
      <c r="E57" s="48"/>
      <c r="F57" s="48"/>
    </row>
    <row r="58" spans="1:6" ht="15.75" customHeight="1" x14ac:dyDescent="0.3">
      <c r="B58" s="42" t="s">
        <v>80</v>
      </c>
      <c r="C58" s="55"/>
      <c r="D58" s="55"/>
      <c r="E58" s="57"/>
      <c r="F58" s="57"/>
    </row>
    <row r="59" spans="1:6" ht="16.5" customHeight="1" x14ac:dyDescent="0.3">
      <c r="B59" s="58">
        <v>5</v>
      </c>
      <c r="C59" s="143" t="s">
        <v>81</v>
      </c>
      <c r="D59" s="143"/>
      <c r="E59" s="143"/>
      <c r="F59" s="59" t="s">
        <v>82</v>
      </c>
    </row>
    <row r="60" spans="1:6" ht="16.5" customHeight="1" x14ac:dyDescent="0.3">
      <c r="B60" s="60" t="s">
        <v>14</v>
      </c>
      <c r="C60" s="144" t="s">
        <v>83</v>
      </c>
      <c r="D60" s="144"/>
      <c r="E60" s="144"/>
      <c r="F60" s="61"/>
    </row>
    <row r="61" spans="1:6" s="48" customFormat="1" ht="16.5" customHeight="1" x14ac:dyDescent="0.3">
      <c r="A61" s="14"/>
      <c r="B61" s="60" t="s">
        <v>16</v>
      </c>
      <c r="C61" s="145" t="s">
        <v>84</v>
      </c>
      <c r="D61" s="145"/>
      <c r="E61" s="145"/>
      <c r="F61" s="61"/>
    </row>
    <row r="62" spans="1:6" s="48" customFormat="1" ht="16.5" customHeight="1" x14ac:dyDescent="0.3">
      <c r="A62" s="14"/>
      <c r="B62" s="60" t="s">
        <v>19</v>
      </c>
      <c r="C62" s="144" t="s">
        <v>85</v>
      </c>
      <c r="D62" s="144"/>
      <c r="E62" s="144"/>
      <c r="F62" s="61"/>
    </row>
    <row r="63" spans="1:6" s="48" customFormat="1" ht="16.5" customHeight="1" x14ac:dyDescent="0.3">
      <c r="B63" s="60" t="s">
        <v>22</v>
      </c>
      <c r="C63" s="139" t="s">
        <v>86</v>
      </c>
      <c r="D63" s="139"/>
      <c r="E63" s="139"/>
      <c r="F63" s="47"/>
    </row>
    <row r="64" spans="1:6" s="62" customFormat="1" ht="16.5" customHeight="1" x14ac:dyDescent="0.3">
      <c r="A64" s="14"/>
      <c r="B64" s="48"/>
      <c r="C64" s="48"/>
      <c r="D64" s="48"/>
      <c r="E64" s="48"/>
      <c r="F64" s="48"/>
    </row>
    <row r="65" spans="1:8" ht="16.5" customHeight="1" x14ac:dyDescent="0.3">
      <c r="B65" s="148" t="s">
        <v>87</v>
      </c>
      <c r="C65" s="148"/>
      <c r="D65" s="148"/>
      <c r="E65" s="148"/>
      <c r="F65" s="148"/>
    </row>
    <row r="66" spans="1:8" x14ac:dyDescent="0.3">
      <c r="A66" s="48"/>
      <c r="B66" s="24">
        <v>6</v>
      </c>
      <c r="C66" s="142" t="s">
        <v>88</v>
      </c>
      <c r="D66" s="142"/>
      <c r="E66" s="142"/>
      <c r="F66" s="44" t="s">
        <v>72</v>
      </c>
    </row>
    <row r="67" spans="1:8" ht="16.5" customHeight="1" x14ac:dyDescent="0.3">
      <c r="A67" s="48"/>
      <c r="B67" s="24" t="s">
        <v>14</v>
      </c>
      <c r="C67" s="146" t="s">
        <v>89</v>
      </c>
      <c r="D67" s="146"/>
      <c r="E67" s="146"/>
      <c r="F67" s="63">
        <v>4.7300000000000004</v>
      </c>
      <c r="H67" s="64">
        <f>CONSOLIDADO!J11</f>
        <v>0</v>
      </c>
    </row>
    <row r="68" spans="1:8" ht="16.5" customHeight="1" x14ac:dyDescent="0.3">
      <c r="A68" s="62"/>
      <c r="B68" s="44" t="s">
        <v>16</v>
      </c>
      <c r="C68" s="135" t="s">
        <v>90</v>
      </c>
      <c r="D68" s="135"/>
      <c r="E68" s="135"/>
      <c r="F68" s="63">
        <v>5.57</v>
      </c>
      <c r="H68" s="65"/>
    </row>
    <row r="69" spans="1:8" ht="16.5" customHeight="1" x14ac:dyDescent="0.3">
      <c r="B69" s="66" t="s">
        <v>91</v>
      </c>
      <c r="C69" s="146" t="s">
        <v>92</v>
      </c>
      <c r="D69" s="146"/>
      <c r="E69" s="146">
        <f>PERC_PIS</f>
        <v>0.65</v>
      </c>
      <c r="F69" s="67">
        <v>0.65</v>
      </c>
    </row>
    <row r="70" spans="1:8" ht="16.5" customHeight="1" x14ac:dyDescent="0.3">
      <c r="B70" s="66" t="s">
        <v>93</v>
      </c>
      <c r="C70" s="135" t="s">
        <v>94</v>
      </c>
      <c r="D70" s="135"/>
      <c r="E70" s="135">
        <f>PERC_COFINS</f>
        <v>3</v>
      </c>
      <c r="F70" s="67">
        <v>3</v>
      </c>
    </row>
    <row r="71" spans="1:8" s="48" customFormat="1" ht="16.5" customHeight="1" x14ac:dyDescent="0.3">
      <c r="B71" s="66" t="s">
        <v>95</v>
      </c>
      <c r="C71" s="146" t="s">
        <v>96</v>
      </c>
      <c r="D71" s="146"/>
      <c r="E71" s="146">
        <f>PERC_ISS</f>
        <v>5</v>
      </c>
      <c r="F71" s="67">
        <v>5</v>
      </c>
    </row>
    <row r="72" spans="1:8" x14ac:dyDescent="0.3">
      <c r="B72" s="48"/>
      <c r="C72" s="48"/>
      <c r="D72" s="48"/>
      <c r="E72" s="48"/>
      <c r="F72" s="48"/>
    </row>
    <row r="73" spans="1:8" ht="20.25" x14ac:dyDescent="0.3">
      <c r="B73" s="68" t="s">
        <v>97</v>
      </c>
      <c r="C73" s="69"/>
      <c r="D73" s="69"/>
      <c r="E73" s="69"/>
      <c r="F73" s="70"/>
    </row>
    <row r="74" spans="1:8" ht="32.25" customHeight="1" x14ac:dyDescent="0.3">
      <c r="B74" s="147" t="s">
        <v>98</v>
      </c>
      <c r="C74" s="147"/>
      <c r="D74" s="147"/>
      <c r="E74" s="147"/>
      <c r="F74" s="147"/>
    </row>
  </sheetData>
  <mergeCells count="55">
    <mergeCell ref="C69:E69"/>
    <mergeCell ref="C70:E70"/>
    <mergeCell ref="C71:E71"/>
    <mergeCell ref="B74:F74"/>
    <mergeCell ref="C63:E63"/>
    <mergeCell ref="B65:F65"/>
    <mergeCell ref="C66:E66"/>
    <mergeCell ref="C67:E67"/>
    <mergeCell ref="C68:E68"/>
    <mergeCell ref="C56:E56"/>
    <mergeCell ref="C59:E59"/>
    <mergeCell ref="C60:E60"/>
    <mergeCell ref="C61:E61"/>
    <mergeCell ref="C62:E62"/>
    <mergeCell ref="C46:D46"/>
    <mergeCell ref="C50:E50"/>
    <mergeCell ref="C51:E51"/>
    <mergeCell ref="C54:E54"/>
    <mergeCell ref="C55:E55"/>
    <mergeCell ref="C41:D41"/>
    <mergeCell ref="C42:D42"/>
    <mergeCell ref="C43:D43"/>
    <mergeCell ref="C44:D44"/>
    <mergeCell ref="C45:D45"/>
    <mergeCell ref="C33:E33"/>
    <mergeCell ref="C34:E34"/>
    <mergeCell ref="C35:E35"/>
    <mergeCell ref="C36:E36"/>
    <mergeCell ref="C40:D40"/>
    <mergeCell ref="C25:E25"/>
    <mergeCell ref="C29:E29"/>
    <mergeCell ref="C30:E30"/>
    <mergeCell ref="C31:E31"/>
    <mergeCell ref="C32:E32"/>
    <mergeCell ref="B17:F17"/>
    <mergeCell ref="B21:F21"/>
    <mergeCell ref="D22:F22"/>
    <mergeCell ref="D23:F23"/>
    <mergeCell ref="C24:E24"/>
    <mergeCell ref="C11:E11"/>
    <mergeCell ref="D12:F12"/>
    <mergeCell ref="C13:E13"/>
    <mergeCell ref="C14:E14"/>
    <mergeCell ref="C15:E15"/>
    <mergeCell ref="B7:C7"/>
    <mergeCell ref="D7:E7"/>
    <mergeCell ref="B8:C8"/>
    <mergeCell ref="D8:E8"/>
    <mergeCell ref="B10:F10"/>
    <mergeCell ref="B1:F1"/>
    <mergeCell ref="B2:D2"/>
    <mergeCell ref="B4:F4"/>
    <mergeCell ref="B5:F5"/>
    <mergeCell ref="B6:C6"/>
    <mergeCell ref="D6:F6"/>
  </mergeCells>
  <dataValidations count="11">
    <dataValidation type="whole" allowBlank="1" showInputMessage="1" showErrorMessage="1" errorTitle="Erro na inserção de dados." error="O percentual de ISS deve estar entre 2 e 5%, conforme o inciso I do artigo 8º e o caput do art. 8º-A da Lei Complementar nº 116/2003." sqref="F71" xr:uid="{00000000-0002-0000-0200-000000000000}">
      <formula1>2</formula1>
      <formula2>5</formula2>
    </dataValidation>
    <dataValidation type="whole" errorStyle="warning" operator="equal" allowBlank="1" showInputMessage="1" showErrorMessage="1" errorTitle="Atentar para o percentual." error="Tem certeza que o percentual do Cofins é diferente de 3%, previsto no art. 31 da Lei nº 10.833/2003?" sqref="F70" xr:uid="{00000000-0002-0000-0200-000001000000}">
      <formula1>3</formula1>
      <formula2>0</formula2>
    </dataValidation>
    <dataValidation type="decimal" errorStyle="warning" operator="equal" allowBlank="1" showInputMessage="1" showErrorMessage="1" errorTitle="Atentar para o percentual." error="Tem certeza que o percentual do PIS é diferente de 0,65%, previsto no art. 31 da Lei nº 10.833/2003?" sqref="F69" xr:uid="{00000000-0002-0000-0200-000002000000}">
      <formula1>0.65</formula1>
      <formula2>0</formula2>
    </dataValidation>
    <dataValidation type="decimal" errorStyle="warning" allowBlank="1" showInputMessage="1" showErrorMessage="1" errorTitle="Erro na inserção de dados." error="O percentual recomendado de lucro é de 5,57%, conforme estudos realizados pela Auditoria Interna do MPU." sqref="F68" xr:uid="{00000000-0002-0000-0200-000003000000}">
      <formula1>0</formula1>
      <formula2>5.57</formula2>
    </dataValidation>
    <dataValidation type="decimal" errorStyle="warning" allowBlank="1" showInputMessage="1" showErrorMessage="1" errorTitle="Erro na inserção de dados." error="O percentual recomendado de custos indiretos é de 4,73%, conforme estudos realizados pela Auditoria Interna do MPU." sqref="F67" xr:uid="{00000000-0002-0000-0200-000004000000}">
      <formula1>0</formula1>
      <formula2>4.73</formula2>
    </dataValidation>
    <dataValidation type="decimal" errorStyle="warning" operator="greaterThanOrEqual" allowBlank="1" showInputMessage="1" showErrorMessage="1" errorTitle="Atentar para o valor do salário." error="Tem certeza que o valor do salário-base é menor do que o salário mínimo vigente no país?" sqref="F30" xr:uid="{00000000-0002-0000-0200-000005000000}">
      <formula1>F25</formula1>
      <formula2>0</formula2>
    </dataValidation>
    <dataValidation type="list" operator="equal" allowBlank="1" showInputMessage="1" showErrorMessage="1" errorTitle="Erro na inserção de dados." error="De acordo com o art. 192 da CLT, estão previstos somente os percentuais de 40% (máximo), 20% (médio) ou 10% (mínimo), conforme for a exposição ao risco." sqref="F33" xr:uid="{00000000-0002-0000-0200-000006000000}">
      <formula1>"0,10,20,40"</formula1>
      <formula2>0</formula2>
    </dataValidation>
    <dataValidation type="list" allowBlank="1" showInputMessage="1" showErrorMessage="1" errorTitle="Erro na inserção de dados." error="Somente estão previstos 15 dias (intercalados), no caso de postos 12x36 horas, ou 22 dias (úteis), no caso de postos 44 horas." sqref="F43" xr:uid="{00000000-0002-0000-0200-000007000000}">
      <formula1>"15,22"</formula1>
      <formula2>0</formula2>
    </dataValidation>
    <dataValidation type="whole" errorStyle="warning" operator="equal" allowBlank="1" showInputMessage="1" showErrorMessage="1" errorTitle="Atenção para a inclusão do item." error="Tem certeza que deseja incluir este item de custo e que o tempo de intervalo está de acordo com o previsto na CCT da categoria?" promptTitle="Intervalo Intrajornada" prompt="Segundo estudos da Audin-MPU, esse item não é usual nas planilhas do MPU. Verifique se realmente há necessidade de incluí-lo." sqref="F56" xr:uid="{00000000-0002-0000-0200-000008000000}">
      <formula1>0</formula1>
      <formula2>0</formula2>
    </dataValidation>
    <dataValidation type="whole" errorStyle="warning" operator="equal" allowBlank="1" showInputMessage="1" showErrorMessage="1" errorTitle="Atenção para a inclusão do item." error="Tem certeza que deseja incluir este item de custo e que o percentual está de acordo com o previsto na CCT da categoria?" promptTitle="Intervalo Intrajornada" prompt="Segundo estudos da Audin-MPU, esse item não é usual nas planilhas do MPU. Verifique se realmente há necessidade de incluí-lo." sqref="F55" xr:uid="{00000000-0002-0000-0200-000009000000}">
      <formula1>0</formula1>
      <formula2>0</formula2>
    </dataValidation>
    <dataValidation type="list" allowBlank="1" showInputMessage="1" showErrorMessage="1" sqref="F13" xr:uid="{00000000-0002-0000-0200-00000A000000}">
      <formula1>"AC,AL,AP,AM,BA,CE,DF,ES,GO,MA,MG,MS,MT,PA,PB,PR,PE,PI,RJ,RN,RO,RR,RS,SC,SP,SE,TO"</formula1>
      <formula2>0</formula2>
    </dataValidation>
  </dataValidations>
  <printOptions horizontalCentered="1"/>
  <pageMargins left="7.8472222222222193E-2" right="7.8472222222222193E-2" top="1.2395833333333299" bottom="1.43611111111111" header="0.31527777777777799" footer="0.31527777777777799"/>
  <pageSetup paperSize="9" fitToHeight="0" orientation="portrait" horizontalDpi="300" verticalDpi="30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2"/>
  <sheetViews>
    <sheetView view="pageBreakPreview" zoomScale="115" zoomScaleNormal="100" zoomScalePageLayoutView="115" workbookViewId="0">
      <selection activeCell="F7" sqref="F7"/>
    </sheetView>
  </sheetViews>
  <sheetFormatPr defaultColWidth="9.140625" defaultRowHeight="16.5" x14ac:dyDescent="0.3"/>
  <cols>
    <col min="1" max="1" width="2.7109375" style="14" customWidth="1"/>
    <col min="2" max="2" width="8.85546875" style="14" customWidth="1"/>
    <col min="3" max="3" width="52.5703125" style="14" customWidth="1"/>
    <col min="4" max="4" width="9.5703125" style="14" customWidth="1"/>
    <col min="5" max="5" width="13.5703125" style="14" customWidth="1"/>
    <col min="6" max="6" width="15.42578125" style="14" customWidth="1"/>
    <col min="7" max="7" width="10.28515625" style="14" customWidth="1"/>
    <col min="8" max="16384" width="9.140625" style="14"/>
  </cols>
  <sheetData>
    <row r="1" spans="1:6" s="17" customFormat="1" ht="25.5" x14ac:dyDescent="0.5">
      <c r="B1" s="41" t="s">
        <v>99</v>
      </c>
      <c r="C1" s="14"/>
      <c r="D1" s="14"/>
      <c r="E1" s="14"/>
      <c r="F1" s="14"/>
    </row>
    <row r="2" spans="1:6" x14ac:dyDescent="0.3">
      <c r="B2" s="42" t="s">
        <v>42</v>
      </c>
      <c r="E2" s="43"/>
      <c r="F2" s="43"/>
    </row>
    <row r="3" spans="1:6" ht="31.35" customHeight="1" x14ac:dyDescent="0.3">
      <c r="B3" s="24">
        <v>1</v>
      </c>
      <c r="C3" s="136" t="s">
        <v>43</v>
      </c>
      <c r="D3" s="136"/>
      <c r="E3" s="136"/>
      <c r="F3" s="44" t="s">
        <v>100</v>
      </c>
    </row>
    <row r="4" spans="1:6" ht="16.5" customHeight="1" x14ac:dyDescent="0.3">
      <c r="B4" s="24" t="s">
        <v>25</v>
      </c>
      <c r="C4" s="146" t="s">
        <v>101</v>
      </c>
      <c r="D4" s="146"/>
      <c r="E4" s="146"/>
      <c r="F4" s="71">
        <v>180</v>
      </c>
    </row>
    <row r="5" spans="1:6" ht="16.5" customHeight="1" x14ac:dyDescent="0.3">
      <c r="B5" s="24" t="s">
        <v>50</v>
      </c>
      <c r="C5" s="138" t="s">
        <v>102</v>
      </c>
      <c r="D5" s="138"/>
      <c r="E5" s="138"/>
      <c r="F5" s="72">
        <v>7</v>
      </c>
    </row>
    <row r="6" spans="1:6" ht="16.5" customHeight="1" x14ac:dyDescent="0.3">
      <c r="B6" s="24" t="s">
        <v>52</v>
      </c>
      <c r="C6" s="146" t="s">
        <v>103</v>
      </c>
      <c r="D6" s="146"/>
      <c r="E6" s="146"/>
      <c r="F6" s="71">
        <v>365</v>
      </c>
    </row>
    <row r="7" spans="1:6" ht="16.5" customHeight="1" x14ac:dyDescent="0.3">
      <c r="B7" s="24" t="s">
        <v>104</v>
      </c>
      <c r="C7" s="138" t="s">
        <v>105</v>
      </c>
      <c r="D7" s="138"/>
      <c r="E7" s="138"/>
      <c r="F7" s="73">
        <v>15.2</v>
      </c>
    </row>
    <row r="8" spans="1:6" ht="16.5" customHeight="1" x14ac:dyDescent="0.3">
      <c r="B8" s="24" t="s">
        <v>106</v>
      </c>
      <c r="C8" s="146" t="s">
        <v>107</v>
      </c>
      <c r="D8" s="146"/>
      <c r="E8" s="146"/>
      <c r="F8" s="71">
        <v>12</v>
      </c>
    </row>
    <row r="9" spans="1:6" ht="16.5" customHeight="1" x14ac:dyDescent="0.3">
      <c r="B9" s="24" t="s">
        <v>108</v>
      </c>
      <c r="C9" s="138" t="s">
        <v>109</v>
      </c>
      <c r="D9" s="138"/>
      <c r="E9" s="138"/>
      <c r="F9" s="72">
        <v>60</v>
      </c>
    </row>
    <row r="10" spans="1:6" ht="16.5" customHeight="1" x14ac:dyDescent="0.3">
      <c r="B10" s="24" t="s">
        <v>110</v>
      </c>
      <c r="C10" s="146" t="s">
        <v>111</v>
      </c>
      <c r="D10" s="146"/>
      <c r="E10" s="146"/>
      <c r="F10" s="74">
        <v>52.5</v>
      </c>
    </row>
    <row r="11" spans="1:6" s="48" customFormat="1" ht="10.5" customHeight="1" x14ac:dyDescent="0.3"/>
    <row r="12" spans="1:6" s="48" customFormat="1" x14ac:dyDescent="0.3">
      <c r="A12" s="14"/>
      <c r="B12" s="42" t="s">
        <v>55</v>
      </c>
      <c r="C12" s="17"/>
      <c r="D12" s="17"/>
      <c r="E12" s="17"/>
      <c r="F12" s="17"/>
    </row>
    <row r="13" spans="1:6" s="48" customFormat="1" ht="15" customHeight="1" x14ac:dyDescent="0.3">
      <c r="A13" s="14"/>
      <c r="B13" s="24" t="s">
        <v>56</v>
      </c>
      <c r="C13" s="136" t="s">
        <v>57</v>
      </c>
      <c r="D13" s="136"/>
      <c r="E13" s="44" t="s">
        <v>58</v>
      </c>
      <c r="F13" s="44" t="s">
        <v>72</v>
      </c>
    </row>
    <row r="14" spans="1:6" s="48" customFormat="1" x14ac:dyDescent="0.3">
      <c r="B14" s="50" t="s">
        <v>19</v>
      </c>
      <c r="C14" s="131" t="s">
        <v>112</v>
      </c>
      <c r="D14" s="131"/>
      <c r="E14" s="52" t="s">
        <v>64</v>
      </c>
      <c r="F14" s="75">
        <v>6</v>
      </c>
    </row>
    <row r="15" spans="1:6" s="48" customFormat="1" ht="9.75" customHeight="1" x14ac:dyDescent="0.3"/>
    <row r="16" spans="1:6" s="17" customFormat="1" x14ac:dyDescent="0.3">
      <c r="A16" s="48"/>
      <c r="B16" s="42" t="s">
        <v>113</v>
      </c>
      <c r="C16" s="55"/>
      <c r="D16" s="56"/>
      <c r="E16" s="57"/>
      <c r="F16" s="57"/>
    </row>
    <row r="17" spans="1:7" s="17" customFormat="1" x14ac:dyDescent="0.3">
      <c r="A17" s="48"/>
      <c r="B17" s="24">
        <v>3</v>
      </c>
      <c r="C17" s="142" t="s">
        <v>114</v>
      </c>
      <c r="D17" s="142"/>
      <c r="E17" s="142"/>
      <c r="F17" s="44" t="s">
        <v>115</v>
      </c>
    </row>
    <row r="18" spans="1:7" s="17" customFormat="1" ht="16.5" customHeight="1" x14ac:dyDescent="0.3">
      <c r="A18" s="48"/>
      <c r="B18" s="24" t="s">
        <v>14</v>
      </c>
      <c r="C18" s="146" t="s">
        <v>116</v>
      </c>
      <c r="D18" s="146"/>
      <c r="E18" s="146"/>
      <c r="F18" s="76">
        <v>62.93</v>
      </c>
    </row>
    <row r="19" spans="1:7" x14ac:dyDescent="0.3">
      <c r="A19" s="48"/>
      <c r="B19" s="44" t="s">
        <v>16</v>
      </c>
      <c r="C19" s="149" t="s">
        <v>117</v>
      </c>
      <c r="D19" s="149"/>
      <c r="E19" s="149"/>
      <c r="F19" s="77">
        <v>5.55</v>
      </c>
    </row>
    <row r="20" spans="1:7" s="17" customFormat="1" ht="15.75" customHeight="1" x14ac:dyDescent="0.15">
      <c r="B20" s="44" t="s">
        <v>19</v>
      </c>
      <c r="C20" s="146" t="s">
        <v>118</v>
      </c>
      <c r="D20" s="146"/>
      <c r="E20" s="146"/>
      <c r="F20" s="78">
        <v>40</v>
      </c>
    </row>
    <row r="21" spans="1:7" ht="16.5" customHeight="1" x14ac:dyDescent="0.3">
      <c r="A21" s="48"/>
      <c r="B21" s="44" t="s">
        <v>22</v>
      </c>
      <c r="C21" s="149" t="s">
        <v>119</v>
      </c>
      <c r="D21" s="149"/>
      <c r="E21" s="149"/>
      <c r="F21" s="75">
        <v>94.45</v>
      </c>
    </row>
    <row r="22" spans="1:7" ht="16.5" customHeight="1" x14ac:dyDescent="0.3">
      <c r="A22" s="48"/>
      <c r="B22" s="44" t="s">
        <v>25</v>
      </c>
      <c r="C22" s="146" t="s">
        <v>120</v>
      </c>
      <c r="D22" s="146"/>
      <c r="E22" s="146"/>
      <c r="F22" s="78">
        <v>30</v>
      </c>
    </row>
    <row r="23" spans="1:7" s="48" customFormat="1" x14ac:dyDescent="0.3"/>
    <row r="24" spans="1:7" s="17" customFormat="1" x14ac:dyDescent="0.3">
      <c r="B24" s="42" t="s">
        <v>68</v>
      </c>
      <c r="C24" s="55"/>
      <c r="D24" s="56"/>
      <c r="E24" s="14"/>
      <c r="F24" s="14"/>
    </row>
    <row r="25" spans="1:7" s="17" customFormat="1" ht="15" customHeight="1" x14ac:dyDescent="0.3">
      <c r="B25" s="42" t="s">
        <v>69</v>
      </c>
      <c r="C25" s="55"/>
      <c r="D25" s="56"/>
      <c r="E25" s="57"/>
      <c r="F25" s="57"/>
    </row>
    <row r="26" spans="1:7" s="17" customFormat="1" ht="16.5" customHeight="1" x14ac:dyDescent="0.15">
      <c r="B26" s="24" t="s">
        <v>70</v>
      </c>
      <c r="C26" s="136" t="s">
        <v>71</v>
      </c>
      <c r="D26" s="136"/>
      <c r="E26" s="136"/>
      <c r="F26" s="44" t="s">
        <v>115</v>
      </c>
    </row>
    <row r="27" spans="1:7" s="17" customFormat="1" ht="16.5" customHeight="1" x14ac:dyDescent="0.15">
      <c r="B27" s="24" t="s">
        <v>14</v>
      </c>
      <c r="C27" s="146" t="s">
        <v>121</v>
      </c>
      <c r="D27" s="146"/>
      <c r="E27" s="146"/>
      <c r="F27" s="78">
        <v>1</v>
      </c>
    </row>
    <row r="28" spans="1:7" ht="16.5" customHeight="1" x14ac:dyDescent="0.3">
      <c r="A28" s="17"/>
      <c r="B28" s="44" t="s">
        <v>16</v>
      </c>
      <c r="C28" s="135" t="s">
        <v>122</v>
      </c>
      <c r="D28" s="135"/>
      <c r="E28" s="135"/>
      <c r="F28" s="75">
        <v>5</v>
      </c>
      <c r="G28" s="79"/>
    </row>
    <row r="29" spans="1:7" ht="16.5" customHeight="1" x14ac:dyDescent="0.3">
      <c r="A29" s="17"/>
      <c r="B29" s="44" t="s">
        <v>19</v>
      </c>
      <c r="C29" s="146" t="s">
        <v>123</v>
      </c>
      <c r="D29" s="146"/>
      <c r="E29" s="146"/>
      <c r="F29" s="76">
        <v>1</v>
      </c>
    </row>
    <row r="30" spans="1:7" ht="16.5" customHeight="1" x14ac:dyDescent="0.3">
      <c r="A30" s="17"/>
      <c r="B30" s="44" t="s">
        <v>22</v>
      </c>
      <c r="C30" s="135" t="s">
        <v>124</v>
      </c>
      <c r="D30" s="135"/>
      <c r="E30" s="135"/>
      <c r="F30" s="77">
        <v>45</v>
      </c>
    </row>
    <row r="31" spans="1:7" s="17" customFormat="1" ht="15.75" customHeight="1" x14ac:dyDescent="0.3">
      <c r="A31" s="14"/>
      <c r="B31" s="44" t="s">
        <v>25</v>
      </c>
      <c r="C31" s="146" t="s">
        <v>125</v>
      </c>
      <c r="D31" s="146"/>
      <c r="E31" s="146"/>
      <c r="F31" s="76">
        <f>(154800/34808000)*100</f>
        <v>0.44472535049413925</v>
      </c>
    </row>
    <row r="32" spans="1:7" ht="15.75" customHeight="1" x14ac:dyDescent="0.3">
      <c r="A32" s="17"/>
      <c r="B32" s="44" t="s">
        <v>50</v>
      </c>
      <c r="C32" s="135" t="s">
        <v>126</v>
      </c>
      <c r="D32" s="135"/>
      <c r="E32" s="135"/>
      <c r="F32" s="75">
        <v>15</v>
      </c>
    </row>
    <row r="33" spans="1:6" ht="15.75" customHeight="1" x14ac:dyDescent="0.3">
      <c r="A33" s="17"/>
      <c r="B33" s="44" t="s">
        <v>52</v>
      </c>
      <c r="C33" s="146" t="s">
        <v>127</v>
      </c>
      <c r="D33" s="146"/>
      <c r="E33" s="146"/>
      <c r="F33" s="78">
        <v>180</v>
      </c>
    </row>
    <row r="34" spans="1:6" ht="16.5" customHeight="1" x14ac:dyDescent="0.3">
      <c r="A34" s="17"/>
      <c r="B34" s="44" t="s">
        <v>128</v>
      </c>
      <c r="C34" s="135" t="s">
        <v>129</v>
      </c>
      <c r="D34" s="135"/>
      <c r="E34" s="135"/>
      <c r="F34" s="77">
        <v>60</v>
      </c>
    </row>
    <row r="35" spans="1:6" s="48" customFormat="1" ht="5.25" customHeight="1" x14ac:dyDescent="0.3"/>
    <row r="36" spans="1:6" x14ac:dyDescent="0.3">
      <c r="B36" s="42" t="s">
        <v>130</v>
      </c>
      <c r="C36" s="55"/>
      <c r="D36" s="56"/>
      <c r="E36" s="57"/>
      <c r="F36" s="57"/>
    </row>
    <row r="37" spans="1:6" x14ac:dyDescent="0.3">
      <c r="B37" s="24" t="s">
        <v>75</v>
      </c>
      <c r="C37" s="142" t="s">
        <v>131</v>
      </c>
      <c r="D37" s="142"/>
      <c r="E37" s="142"/>
      <c r="F37" s="44" t="s">
        <v>132</v>
      </c>
    </row>
    <row r="38" spans="1:6" ht="16.5" customHeight="1" x14ac:dyDescent="0.3">
      <c r="B38" s="24" t="s">
        <v>14</v>
      </c>
      <c r="C38" s="137" t="s">
        <v>78</v>
      </c>
      <c r="D38" s="137"/>
      <c r="E38" s="137"/>
      <c r="F38" s="71">
        <f>PERC_HORA_EXTRA</f>
        <v>0</v>
      </c>
    </row>
    <row r="39" spans="1:6" ht="15" customHeight="1" x14ac:dyDescent="0.3">
      <c r="B39" s="24" t="s">
        <v>16</v>
      </c>
      <c r="C39" s="135" t="s">
        <v>79</v>
      </c>
      <c r="D39" s="135"/>
      <c r="E39" s="135"/>
      <c r="F39" s="72">
        <f>TEMPO_INTERVALO_REFEICAO</f>
        <v>0</v>
      </c>
    </row>
    <row r="40" spans="1:6" s="48" customFormat="1" ht="5.25" customHeight="1" x14ac:dyDescent="0.3"/>
    <row r="41" spans="1:6" ht="20.25" x14ac:dyDescent="0.3">
      <c r="B41" s="68" t="s">
        <v>97</v>
      </c>
      <c r="C41" s="69"/>
      <c r="D41" s="69"/>
      <c r="E41" s="69"/>
      <c r="F41" s="70"/>
    </row>
    <row r="42" spans="1:6" ht="32.25" customHeight="1" x14ac:dyDescent="0.3">
      <c r="B42" s="147" t="s">
        <v>98</v>
      </c>
      <c r="C42" s="147"/>
      <c r="D42" s="147"/>
      <c r="E42" s="147"/>
      <c r="F42" s="147"/>
    </row>
  </sheetData>
  <mergeCells count="29">
    <mergeCell ref="C37:E37"/>
    <mergeCell ref="C38:E38"/>
    <mergeCell ref="C39:E39"/>
    <mergeCell ref="B42:F42"/>
    <mergeCell ref="C30:E30"/>
    <mergeCell ref="C31:E31"/>
    <mergeCell ref="C32:E32"/>
    <mergeCell ref="C33:E33"/>
    <mergeCell ref="C34:E34"/>
    <mergeCell ref="C22:E22"/>
    <mergeCell ref="C26:E26"/>
    <mergeCell ref="C27:E27"/>
    <mergeCell ref="C28:E28"/>
    <mergeCell ref="C29:E29"/>
    <mergeCell ref="C17:E17"/>
    <mergeCell ref="C18:E18"/>
    <mergeCell ref="C19:E19"/>
    <mergeCell ref="C20:E20"/>
    <mergeCell ref="C21:E21"/>
    <mergeCell ref="C8:E8"/>
    <mergeCell ref="C9:E9"/>
    <mergeCell ref="C10:E10"/>
    <mergeCell ref="C13:D13"/>
    <mergeCell ref="C14:D14"/>
    <mergeCell ref="C3:E3"/>
    <mergeCell ref="C4:E4"/>
    <mergeCell ref="C5:E5"/>
    <mergeCell ref="C6:E6"/>
    <mergeCell ref="C7:E7"/>
  </mergeCells>
  <dataValidations count="1">
    <dataValidation allowBlank="1" showInputMessage="1" showErrorMessage="1" promptTitle="Intervalo Intrajornada" prompt="Segundo estudos da Audin-MPU, esse item não é usual nas planilhas do MPU. Verifique se realmente há necessidade de incluí-lo." sqref="F38:F39" xr:uid="{00000000-0002-0000-0300-000000000000}">
      <formula1>0</formula1>
      <formula2>0</formula2>
    </dataValidation>
  </dataValidations>
  <printOptions horizontalCentered="1"/>
  <pageMargins left="7.8472222222222193E-2" right="7.8472222222222193E-2" top="1.2395833333333299" bottom="1.43611111111111" header="0.31527777777777799" footer="0.31527777777777799"/>
  <pageSetup paperSize="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34"/>
  <sheetViews>
    <sheetView view="pageBreakPreview" zoomScaleNormal="100" workbookViewId="0">
      <selection activeCell="F20" sqref="F20"/>
    </sheetView>
  </sheetViews>
  <sheetFormatPr defaultColWidth="9.140625" defaultRowHeight="16.5" x14ac:dyDescent="0.3"/>
  <cols>
    <col min="1" max="1" width="2.7109375" style="14" customWidth="1"/>
    <col min="2" max="2" width="8.85546875" style="14" customWidth="1"/>
    <col min="3" max="3" width="52.5703125" style="14" customWidth="1"/>
    <col min="4" max="4" width="22" style="14" customWidth="1"/>
    <col min="5" max="5" width="13.5703125" style="14" customWidth="1"/>
    <col min="6" max="6" width="43.85546875" style="14" customWidth="1"/>
    <col min="7" max="7" width="51.7109375" style="14" customWidth="1"/>
    <col min="8" max="16384" width="9.140625" style="14"/>
  </cols>
  <sheetData>
    <row r="1" spans="2:7" s="17" customFormat="1" ht="25.5" x14ac:dyDescent="0.5">
      <c r="B1" s="41" t="s">
        <v>133</v>
      </c>
      <c r="C1" s="14"/>
      <c r="D1" s="14"/>
      <c r="E1" s="14"/>
      <c r="F1" s="14"/>
      <c r="G1" s="14"/>
    </row>
    <row r="2" spans="2:7" x14ac:dyDescent="0.3">
      <c r="B2" s="42" t="s">
        <v>54</v>
      </c>
      <c r="E2" s="49"/>
    </row>
    <row r="3" spans="2:7" x14ac:dyDescent="0.3">
      <c r="B3" s="42" t="s">
        <v>134</v>
      </c>
      <c r="C3" s="55"/>
      <c r="D3" s="56"/>
      <c r="E3" s="57"/>
    </row>
    <row r="4" spans="2:7" x14ac:dyDescent="0.3">
      <c r="B4" s="24" t="s">
        <v>135</v>
      </c>
      <c r="C4" s="142" t="s">
        <v>136</v>
      </c>
      <c r="D4" s="142"/>
      <c r="E4" s="44" t="s">
        <v>72</v>
      </c>
      <c r="F4" s="44" t="s">
        <v>137</v>
      </c>
    </row>
    <row r="5" spans="2:7" ht="16.5" customHeight="1" x14ac:dyDescent="0.3">
      <c r="B5" s="24" t="s">
        <v>14</v>
      </c>
      <c r="C5" s="146" t="s">
        <v>138</v>
      </c>
      <c r="D5" s="146"/>
      <c r="E5" s="80">
        <f>(1/MESES_NO_ANO)*100</f>
        <v>8.3333333333333321</v>
      </c>
      <c r="F5" s="81" t="s">
        <v>139</v>
      </c>
    </row>
    <row r="6" spans="2:7" ht="16.5" customHeight="1" x14ac:dyDescent="0.3">
      <c r="B6" s="44" t="s">
        <v>16</v>
      </c>
      <c r="C6" s="135" t="s">
        <v>140</v>
      </c>
      <c r="D6" s="135"/>
      <c r="E6" s="82">
        <f>(1/3)/MESES_NO_ANO*100</f>
        <v>2.7777777777777777</v>
      </c>
      <c r="F6" s="82" t="s">
        <v>141</v>
      </c>
    </row>
    <row r="7" spans="2:7" s="48" customFormat="1" ht="16.5" customHeight="1" x14ac:dyDescent="0.3">
      <c r="B7" s="150" t="s">
        <v>142</v>
      </c>
      <c r="C7" s="150"/>
      <c r="D7" s="150"/>
      <c r="E7" s="150"/>
      <c r="F7" s="150"/>
    </row>
    <row r="8" spans="2:7" s="48" customFormat="1" ht="34.5" customHeight="1" x14ac:dyDescent="0.3">
      <c r="B8" s="24" t="s">
        <v>143</v>
      </c>
      <c r="C8" s="151" t="s">
        <v>144</v>
      </c>
      <c r="D8" s="151"/>
      <c r="E8" s="44" t="s">
        <v>72</v>
      </c>
    </row>
    <row r="9" spans="2:7" ht="16.5" customHeight="1" x14ac:dyDescent="0.3">
      <c r="B9" s="24" t="s">
        <v>14</v>
      </c>
      <c r="C9" s="146" t="s">
        <v>145</v>
      </c>
      <c r="D9" s="146"/>
      <c r="E9" s="80">
        <v>20</v>
      </c>
    </row>
    <row r="10" spans="2:7" s="17" customFormat="1" ht="16.5" customHeight="1" x14ac:dyDescent="0.15">
      <c r="B10" s="44" t="s">
        <v>16</v>
      </c>
      <c r="C10" s="135" t="s">
        <v>146</v>
      </c>
      <c r="D10" s="135"/>
      <c r="E10" s="82">
        <v>2.5</v>
      </c>
    </row>
    <row r="11" spans="2:7" s="17" customFormat="1" ht="16.5" customHeight="1" x14ac:dyDescent="0.15">
      <c r="B11" s="44" t="s">
        <v>19</v>
      </c>
      <c r="C11" s="146" t="s">
        <v>147</v>
      </c>
      <c r="D11" s="146"/>
      <c r="E11" s="80">
        <v>1</v>
      </c>
    </row>
    <row r="12" spans="2:7" s="17" customFormat="1" ht="16.5" customHeight="1" x14ac:dyDescent="0.15">
      <c r="B12" s="44" t="s">
        <v>22</v>
      </c>
      <c r="C12" s="135" t="s">
        <v>148</v>
      </c>
      <c r="D12" s="135"/>
      <c r="E12" s="82">
        <v>1.5</v>
      </c>
    </row>
    <row r="13" spans="2:7" s="17" customFormat="1" ht="16.5" customHeight="1" x14ac:dyDescent="0.15">
      <c r="B13" s="44" t="s">
        <v>25</v>
      </c>
      <c r="C13" s="146" t="s">
        <v>149</v>
      </c>
      <c r="D13" s="146"/>
      <c r="E13" s="80">
        <v>1</v>
      </c>
    </row>
    <row r="14" spans="2:7" s="17" customFormat="1" ht="16.5" customHeight="1" x14ac:dyDescent="0.15">
      <c r="B14" s="44" t="s">
        <v>50</v>
      </c>
      <c r="C14" s="135" t="s">
        <v>150</v>
      </c>
      <c r="D14" s="135"/>
      <c r="E14" s="82">
        <v>0.6</v>
      </c>
    </row>
    <row r="15" spans="2:7" s="17" customFormat="1" ht="16.5" customHeight="1" x14ac:dyDescent="0.15">
      <c r="B15" s="44" t="s">
        <v>52</v>
      </c>
      <c r="C15" s="146" t="s">
        <v>151</v>
      </c>
      <c r="D15" s="146"/>
      <c r="E15" s="80">
        <v>0.2</v>
      </c>
    </row>
    <row r="16" spans="2:7" ht="16.5" customHeight="1" x14ac:dyDescent="0.3">
      <c r="B16" s="44" t="s">
        <v>128</v>
      </c>
      <c r="C16" s="135" t="s">
        <v>152</v>
      </c>
      <c r="D16" s="135"/>
      <c r="E16" s="82">
        <v>8</v>
      </c>
    </row>
    <row r="17" spans="2:6" x14ac:dyDescent="0.3">
      <c r="B17" s="142" t="s">
        <v>153</v>
      </c>
      <c r="C17" s="142"/>
      <c r="D17" s="142"/>
      <c r="E17" s="83">
        <f>SUM(E9:E16)</f>
        <v>34.799999999999997</v>
      </c>
    </row>
    <row r="18" spans="2:6" s="48" customFormat="1" x14ac:dyDescent="0.3">
      <c r="B18" s="42" t="s">
        <v>113</v>
      </c>
      <c r="C18" s="55"/>
      <c r="D18" s="56"/>
      <c r="E18" s="57"/>
    </row>
    <row r="19" spans="2:6" s="48" customFormat="1" ht="15" customHeight="1" x14ac:dyDescent="0.3">
      <c r="B19" s="24">
        <v>3</v>
      </c>
      <c r="C19" s="142" t="s">
        <v>114</v>
      </c>
      <c r="D19" s="142"/>
      <c r="E19" s="44" t="s">
        <v>72</v>
      </c>
      <c r="F19" s="44" t="s">
        <v>137</v>
      </c>
    </row>
    <row r="20" spans="2:6" s="48" customFormat="1" x14ac:dyDescent="0.3">
      <c r="B20" s="24" t="s">
        <v>14</v>
      </c>
      <c r="C20" s="152" t="s">
        <v>154</v>
      </c>
      <c r="D20" s="152"/>
      <c r="E20" s="80">
        <f>PERC_EMPREG_DEMIT_SEM_JUSTA_CAUSA_TOTAL_DESLIG%*PERC_EMPREG_AVISO_PREVIO_IND%*1/MESES_NO_ANO*100</f>
        <v>0.29105124999999998</v>
      </c>
      <c r="F20" s="81" t="s">
        <v>155</v>
      </c>
    </row>
    <row r="21" spans="2:6" s="48" customFormat="1" x14ac:dyDescent="0.3">
      <c r="B21" s="44" t="s">
        <v>16</v>
      </c>
      <c r="C21" s="153" t="s">
        <v>156</v>
      </c>
      <c r="D21" s="153"/>
      <c r="E21" s="82">
        <f>PERC_EMPREG_DEMIT_SEM_JUSTA_CAUSA_TOTAL_DESLIG%*PERC_EMPREG_AVISO_PREVIO_TRAB%*(DIAS_NA_SEMANA/DIAS_NO_MES)/MESES_NO_ANO*100</f>
        <v>1.1557269305555555</v>
      </c>
      <c r="F21" s="82" t="s">
        <v>157</v>
      </c>
    </row>
    <row r="22" spans="2:6" s="17" customFormat="1" ht="16.5" customHeight="1" x14ac:dyDescent="0.15">
      <c r="B22" s="44" t="s">
        <v>19</v>
      </c>
      <c r="C22" s="152" t="s">
        <v>158</v>
      </c>
      <c r="D22" s="152"/>
      <c r="E22" s="80">
        <v>0.04</v>
      </c>
      <c r="F22" s="81" t="s">
        <v>159</v>
      </c>
    </row>
    <row r="23" spans="2:6" s="17" customFormat="1" ht="15.75" customHeight="1" x14ac:dyDescent="0.3">
      <c r="B23" s="42" t="s">
        <v>68</v>
      </c>
      <c r="C23" s="55"/>
      <c r="D23" s="56"/>
      <c r="E23" s="14"/>
    </row>
    <row r="24" spans="2:6" s="17" customFormat="1" ht="15.75" customHeight="1" x14ac:dyDescent="0.3">
      <c r="B24" s="42" t="s">
        <v>69</v>
      </c>
      <c r="C24" s="55"/>
      <c r="D24" s="56"/>
      <c r="E24" s="57"/>
    </row>
    <row r="25" spans="2:6" s="17" customFormat="1" ht="16.5" customHeight="1" x14ac:dyDescent="0.15">
      <c r="B25" s="24" t="s">
        <v>70</v>
      </c>
      <c r="C25" s="136" t="s">
        <v>71</v>
      </c>
      <c r="D25" s="136"/>
      <c r="E25" s="44" t="s">
        <v>72</v>
      </c>
      <c r="F25" s="44" t="s">
        <v>137</v>
      </c>
    </row>
    <row r="26" spans="2:6" s="17" customFormat="1" ht="15.75" customHeight="1" x14ac:dyDescent="0.15">
      <c r="B26" s="44" t="s">
        <v>14</v>
      </c>
      <c r="C26" s="146" t="s">
        <v>160</v>
      </c>
      <c r="D26" s="146"/>
      <c r="E26" s="80">
        <f>(1/MESES_NO_ANO)*100</f>
        <v>8.3333333333333321</v>
      </c>
      <c r="F26" s="81" t="s">
        <v>161</v>
      </c>
    </row>
    <row r="27" spans="2:6" s="17" customFormat="1" ht="15.75" customHeight="1" x14ac:dyDescent="0.15">
      <c r="B27" s="44" t="s">
        <v>16</v>
      </c>
      <c r="C27" s="27" t="s">
        <v>162</v>
      </c>
      <c r="D27" s="27"/>
      <c r="E27" s="82">
        <f>(DIAS_AUSENCIAS_LEGAIS/DIAS_NO_MES)/MESES_NO_ANO*100</f>
        <v>0.27777777777777779</v>
      </c>
      <c r="F27" s="82" t="s">
        <v>163</v>
      </c>
    </row>
    <row r="28" spans="2:6" s="17" customFormat="1" ht="15.75" customHeight="1" x14ac:dyDescent="0.15">
      <c r="B28" s="44" t="s">
        <v>19</v>
      </c>
      <c r="C28" s="146" t="s">
        <v>164</v>
      </c>
      <c r="D28" s="146"/>
      <c r="E28" s="80">
        <f>(((DIAS_LICENCA_PATERNIDADE/DIAS_NO_MES)/MESES_NO_ANO)*PERC_NASCIDOS_VIVOS_POPUL_FEM%*PERC_PARTIC_MASC_VIGIL%)*100</f>
        <v>6.2500000000000003E-3</v>
      </c>
      <c r="F28" s="81" t="s">
        <v>165</v>
      </c>
    </row>
    <row r="29" spans="2:6" s="17" customFormat="1" ht="16.5" customHeight="1" x14ac:dyDescent="0.15">
      <c r="B29" s="44" t="s">
        <v>22</v>
      </c>
      <c r="C29" s="135" t="s">
        <v>166</v>
      </c>
      <c r="D29" s="135"/>
      <c r="E29" s="82">
        <f>(DIAS_PAGOS_EMPRESA_ACID_TRAB/DIAS_NO_MES)/MESES_NO_ANO*PERC_EMPREG_AFAST_TRAB%*100</f>
        <v>1.85302229372558E-2</v>
      </c>
      <c r="F29" s="82" t="s">
        <v>167</v>
      </c>
    </row>
    <row r="30" spans="2:6" s="17" customFormat="1" ht="16.5" customHeight="1" x14ac:dyDescent="0.15">
      <c r="B30" s="44" t="s">
        <v>25</v>
      </c>
      <c r="C30" s="146" t="s">
        <v>168</v>
      </c>
      <c r="D30" s="146"/>
      <c r="E30" s="80">
        <f>(((DIAS_LICENCA_MATERNIDADE/DIAS_NO_MES)/MESES_NO_ANO)*PERC_NASCIDOS_VIVOS_POPUL_FEM%*PERC_PARTIC_FEM_VIGIL%*PERC_GPS_FGTS%*100)</f>
        <v>0.10440000000000001</v>
      </c>
      <c r="F30" s="81" t="s">
        <v>169</v>
      </c>
    </row>
    <row r="31" spans="2:6" s="17" customFormat="1" x14ac:dyDescent="0.15">
      <c r="B31" s="44" t="s">
        <v>50</v>
      </c>
      <c r="C31" s="135" t="str">
        <f>OUTRAS_AUSENCIAS_DESCRICAO</f>
        <v>Outras Ausências (Especificar - em %)</v>
      </c>
      <c r="D31" s="135"/>
      <c r="E31" s="82">
        <f>PERC_SUBSTITUTO_OUTRAS_AUSENCIAS</f>
        <v>0</v>
      </c>
      <c r="F31" s="82"/>
    </row>
    <row r="33" spans="2:7" ht="20.25" x14ac:dyDescent="0.3">
      <c r="B33" s="68" t="s">
        <v>97</v>
      </c>
    </row>
    <row r="34" spans="2:7" ht="42.75" customHeight="1" x14ac:dyDescent="0.3">
      <c r="B34" s="147" t="s">
        <v>98</v>
      </c>
      <c r="C34" s="147"/>
      <c r="D34" s="147"/>
      <c r="E34" s="147"/>
      <c r="G34" s="84"/>
    </row>
  </sheetData>
  <mergeCells count="25">
    <mergeCell ref="C28:D28"/>
    <mergeCell ref="C29:D29"/>
    <mergeCell ref="C30:D30"/>
    <mergeCell ref="C31:D31"/>
    <mergeCell ref="B34:E34"/>
    <mergeCell ref="C20:D20"/>
    <mergeCell ref="C21:D21"/>
    <mergeCell ref="C22:D22"/>
    <mergeCell ref="C25:D25"/>
    <mergeCell ref="C26:D26"/>
    <mergeCell ref="C14:D14"/>
    <mergeCell ref="C15:D15"/>
    <mergeCell ref="C16:D16"/>
    <mergeCell ref="B17:D17"/>
    <mergeCell ref="C19:D19"/>
    <mergeCell ref="C9:D9"/>
    <mergeCell ref="C10:D10"/>
    <mergeCell ref="C11:D11"/>
    <mergeCell ref="C12:D12"/>
    <mergeCell ref="C13:D13"/>
    <mergeCell ref="C4:D4"/>
    <mergeCell ref="C5:D5"/>
    <mergeCell ref="C6:D6"/>
    <mergeCell ref="B7:F7"/>
    <mergeCell ref="C8:D8"/>
  </mergeCells>
  <dataValidations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20" xr:uid="{00000000-0002-0000-0400-000000000000}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21" xr:uid="{00000000-0002-0000-0400-000001000000}">
      <formula1>0</formula1>
      <formula2>1.94</formula2>
    </dataValidation>
  </dataValidations>
  <printOptions horizontalCentered="1"/>
  <pageMargins left="7.8472222222222193E-2" right="7.8472222222222193E-2" top="1.2395833333333299" bottom="1.43611111111111" header="0.31527777777777799" footer="0.31527777777777799"/>
  <pageSetup paperSize="9" scale="73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05"/>
  <sheetViews>
    <sheetView view="pageBreakPreview" topLeftCell="A52" zoomScaleNormal="100" workbookViewId="0">
      <selection activeCell="C107" sqref="C107"/>
    </sheetView>
  </sheetViews>
  <sheetFormatPr defaultColWidth="9.140625" defaultRowHeight="16.5" x14ac:dyDescent="0.3"/>
  <cols>
    <col min="1" max="1" width="2.7109375" style="14" customWidth="1"/>
    <col min="2" max="2" width="8.85546875" style="14" customWidth="1"/>
    <col min="3" max="3" width="52.5703125" style="14" customWidth="1"/>
    <col min="4" max="4" width="7.85546875" style="14" customWidth="1"/>
    <col min="5" max="5" width="13.5703125" style="14" customWidth="1"/>
    <col min="6" max="6" width="15.42578125" style="14" customWidth="1"/>
    <col min="7" max="7" width="13.7109375" style="85" customWidth="1"/>
    <col min="8" max="8" width="12" style="79" customWidth="1"/>
    <col min="9" max="16384" width="9.140625" style="14"/>
  </cols>
  <sheetData>
    <row r="1" spans="2:8" ht="20.25" x14ac:dyDescent="0.35">
      <c r="B1" s="154" t="str">
        <f>RAMO</f>
        <v>RAMO:</v>
      </c>
      <c r="C1" s="154"/>
      <c r="D1" s="154"/>
      <c r="E1" s="154"/>
      <c r="F1" s="154"/>
    </row>
    <row r="2" spans="2:8" ht="20.25" x14ac:dyDescent="0.35">
      <c r="B2" s="155" t="str">
        <f>UG</f>
        <v>UNIDADE GESTORA (SIGLA): ESMPU</v>
      </c>
      <c r="C2" s="155"/>
      <c r="D2" s="155"/>
      <c r="E2" s="86" t="s">
        <v>2</v>
      </c>
      <c r="F2" s="87">
        <f>DATA_DO_ORCAMENTO_ESTIMATIVO</f>
        <v>45580</v>
      </c>
    </row>
    <row r="3" spans="2:8" s="17" customFormat="1" ht="25.5" x14ac:dyDescent="0.5">
      <c r="B3" s="127" t="s">
        <v>170</v>
      </c>
      <c r="C3" s="127"/>
      <c r="D3" s="127"/>
      <c r="E3" s="127"/>
      <c r="F3" s="127"/>
      <c r="G3" s="88"/>
      <c r="H3" s="89"/>
    </row>
    <row r="4" spans="2:8" s="17" customFormat="1" ht="15.75" customHeight="1" x14ac:dyDescent="0.3">
      <c r="B4" s="128" t="s">
        <v>4</v>
      </c>
      <c r="C4" s="128"/>
      <c r="D4" s="128"/>
      <c r="E4" s="128"/>
      <c r="F4" s="128"/>
      <c r="G4" s="88"/>
      <c r="H4" s="89"/>
    </row>
    <row r="5" spans="2:8" s="17" customFormat="1" ht="15.75" customHeight="1" x14ac:dyDescent="0.3">
      <c r="B5" s="129" t="s">
        <v>171</v>
      </c>
      <c r="C5" s="129"/>
      <c r="D5" s="156" t="str">
        <f>NUMERO_PROCESSO</f>
        <v>0.01.000.1.0002372/2024-98</v>
      </c>
      <c r="E5" s="156"/>
      <c r="F5" s="156"/>
      <c r="G5" s="88"/>
      <c r="H5" s="89"/>
    </row>
    <row r="6" spans="2:8" s="17" customFormat="1" ht="15.75" customHeight="1" x14ac:dyDescent="0.3">
      <c r="B6" s="131" t="s">
        <v>172</v>
      </c>
      <c r="C6" s="131"/>
      <c r="D6" s="157" t="str">
        <f>MODALIDADE_DE_LICITACAO</f>
        <v>Pregão nº</v>
      </c>
      <c r="E6" s="157"/>
      <c r="F6" s="90" t="str">
        <f>NUMERO_PREGAO</f>
        <v>XX/XXXX</v>
      </c>
      <c r="G6" s="88"/>
      <c r="H6" s="89"/>
    </row>
    <row r="7" spans="2:8" s="17" customFormat="1" ht="15.75" customHeight="1" x14ac:dyDescent="0.3">
      <c r="B7" s="158" t="s">
        <v>173</v>
      </c>
      <c r="C7" s="158"/>
      <c r="D7" s="158"/>
      <c r="E7" s="158"/>
      <c r="F7" s="158"/>
      <c r="G7" s="88"/>
      <c r="H7" s="89"/>
    </row>
    <row r="8" spans="2:8" s="17" customFormat="1" ht="18" customHeight="1" x14ac:dyDescent="0.3">
      <c r="B8" s="22" t="s">
        <v>14</v>
      </c>
      <c r="C8" s="129" t="s">
        <v>15</v>
      </c>
      <c r="D8" s="129"/>
      <c r="E8" s="129"/>
      <c r="F8" s="91" t="str">
        <f>DATA_APRESENTACAO_PROPOSTA</f>
        <v>XX/XX/XXXX</v>
      </c>
      <c r="G8" s="88"/>
      <c r="H8" s="89"/>
    </row>
    <row r="9" spans="2:8" s="17" customFormat="1" ht="15.75" customHeight="1" x14ac:dyDescent="0.15">
      <c r="B9" s="24" t="s">
        <v>16</v>
      </c>
      <c r="C9" s="25" t="s">
        <v>17</v>
      </c>
      <c r="D9" s="149" t="str">
        <f>IF(LOCAL_DE_EXECUCAO="","",LOCAL_DE_EXECUCAO)</f>
        <v>Brasília</v>
      </c>
      <c r="E9" s="149"/>
      <c r="F9" s="149"/>
      <c r="G9" s="88"/>
      <c r="H9" s="89"/>
    </row>
    <row r="10" spans="2:8" s="17" customFormat="1" ht="18.75" customHeight="1" x14ac:dyDescent="0.3">
      <c r="B10" s="22" t="s">
        <v>19</v>
      </c>
      <c r="C10" s="129" t="s">
        <v>23</v>
      </c>
      <c r="D10" s="129"/>
      <c r="E10" s="129"/>
      <c r="F10" s="92" t="str">
        <f>ACORDO_COLETIVO</f>
        <v>01/2024</v>
      </c>
      <c r="G10" s="88"/>
      <c r="H10" s="89"/>
    </row>
    <row r="11" spans="2:8" s="17" customFormat="1" ht="15.75" customHeight="1" x14ac:dyDescent="0.3">
      <c r="B11" s="24" t="s">
        <v>22</v>
      </c>
      <c r="C11" s="149" t="s">
        <v>26</v>
      </c>
      <c r="D11" s="149"/>
      <c r="E11" s="149"/>
      <c r="F11" s="52">
        <f>NUMERO_MESES_EXEC_CONTRATUAL</f>
        <v>12</v>
      </c>
      <c r="G11" s="88"/>
      <c r="H11" s="89"/>
    </row>
    <row r="12" spans="2:8" s="17" customFormat="1" x14ac:dyDescent="0.3">
      <c r="B12" s="24" t="s">
        <v>25</v>
      </c>
      <c r="C12" s="159" t="s">
        <v>174</v>
      </c>
      <c r="D12" s="159"/>
      <c r="E12" s="159"/>
      <c r="F12" s="28">
        <f>IF(QTDE_POSTOS="","",QTDE_POSTOS)</f>
        <v>2</v>
      </c>
      <c r="G12" s="88"/>
      <c r="H12" s="89"/>
    </row>
    <row r="13" spans="2:8" s="93" customFormat="1" ht="15" customHeight="1" x14ac:dyDescent="0.2">
      <c r="B13" s="94" t="s">
        <v>41</v>
      </c>
      <c r="C13" s="95"/>
      <c r="D13" s="95"/>
      <c r="E13" s="95"/>
      <c r="F13" s="95"/>
      <c r="G13" s="96"/>
      <c r="H13" s="97"/>
    </row>
    <row r="14" spans="2:8" s="17" customFormat="1" x14ac:dyDescent="0.3">
      <c r="B14" s="22">
        <v>1</v>
      </c>
      <c r="C14" s="129" t="s">
        <v>175</v>
      </c>
      <c r="D14" s="129"/>
      <c r="E14" s="156" t="str">
        <f>IF(TIPO_DE_SERVICO="","",TIPO_DE_SERVICO)</f>
        <v>Operador de Mídia Audiovisual</v>
      </c>
      <c r="F14" s="156"/>
      <c r="G14" s="88"/>
      <c r="H14" s="89"/>
    </row>
    <row r="15" spans="2:8" s="17" customFormat="1" x14ac:dyDescent="0.3">
      <c r="B15" s="22">
        <v>2</v>
      </c>
      <c r="C15" s="36" t="s">
        <v>36</v>
      </c>
      <c r="D15" s="160" t="str">
        <f>IF(CBO="","",CBO)</f>
        <v>3731-05</v>
      </c>
      <c r="E15" s="160"/>
      <c r="F15" s="160"/>
      <c r="G15" s="88"/>
      <c r="H15" s="89"/>
    </row>
    <row r="16" spans="2:8" s="17" customFormat="1" ht="15" customHeight="1" x14ac:dyDescent="0.3">
      <c r="B16" s="22">
        <v>3</v>
      </c>
      <c r="C16" s="35" t="s">
        <v>38</v>
      </c>
      <c r="D16" s="156" t="str">
        <f>IF(CATEGORIA_PROFISSIONAL="","",CATEGORIA_PROFISSIONAL)</f>
        <v>Operador de Mídia Audiovisual</v>
      </c>
      <c r="E16" s="156"/>
      <c r="F16" s="156"/>
      <c r="G16" s="88"/>
      <c r="H16" s="89"/>
    </row>
    <row r="17" spans="2:8" s="17" customFormat="1" ht="15" customHeight="1" x14ac:dyDescent="0.3">
      <c r="B17" s="22">
        <v>4</v>
      </c>
      <c r="C17" s="131" t="s">
        <v>39</v>
      </c>
      <c r="D17" s="131"/>
      <c r="E17" s="131"/>
      <c r="F17" s="98">
        <f>DATA_BASE_CATEGORIA</f>
        <v>45292</v>
      </c>
      <c r="G17" s="88"/>
      <c r="H17" s="89"/>
    </row>
    <row r="18" spans="2:8" s="99" customFormat="1" ht="20.25" customHeight="1" x14ac:dyDescent="0.3">
      <c r="B18" s="161" t="s">
        <v>176</v>
      </c>
      <c r="C18" s="161"/>
      <c r="D18" s="161"/>
      <c r="E18" s="161"/>
      <c r="F18" s="161"/>
      <c r="G18" s="100"/>
      <c r="H18" s="101"/>
    </row>
    <row r="19" spans="2:8" x14ac:dyDescent="0.3">
      <c r="B19" s="142" t="s">
        <v>177</v>
      </c>
      <c r="C19" s="142"/>
      <c r="D19" s="142"/>
      <c r="E19" s="142"/>
      <c r="F19" s="102">
        <f>IF(EMPREG_POR_POSTO="","",EMPREG_POR_POSTO)</f>
        <v>1</v>
      </c>
    </row>
    <row r="20" spans="2:8" x14ac:dyDescent="0.3">
      <c r="B20" s="42" t="s">
        <v>42</v>
      </c>
      <c r="E20" s="43"/>
      <c r="F20" s="43"/>
    </row>
    <row r="21" spans="2:8" ht="16.5" customHeight="1" x14ac:dyDescent="0.3">
      <c r="B21" s="24">
        <v>1</v>
      </c>
      <c r="C21" s="136" t="s">
        <v>43</v>
      </c>
      <c r="D21" s="136"/>
      <c r="E21" s="136"/>
      <c r="F21" s="44" t="s">
        <v>82</v>
      </c>
    </row>
    <row r="22" spans="2:8" ht="16.5" customHeight="1" x14ac:dyDescent="0.3">
      <c r="B22" s="24" t="s">
        <v>14</v>
      </c>
      <c r="C22" s="137" t="s">
        <v>178</v>
      </c>
      <c r="D22" s="137"/>
      <c r="E22" s="137"/>
      <c r="F22" s="103">
        <f>SALARIO_BASE</f>
        <v>6472.84</v>
      </c>
    </row>
    <row r="23" spans="2:8" ht="16.5" customHeight="1" x14ac:dyDescent="0.3">
      <c r="B23" s="24" t="s">
        <v>16</v>
      </c>
      <c r="C23" s="135" t="s">
        <v>179</v>
      </c>
      <c r="D23" s="135"/>
      <c r="E23" s="135"/>
      <c r="F23" s="104">
        <f>PERC_ADIC_PERIC%*SALARIO_BASE</f>
        <v>0</v>
      </c>
    </row>
    <row r="24" spans="2:8" ht="15.75" customHeight="1" x14ac:dyDescent="0.3">
      <c r="B24" s="24" t="s">
        <v>19</v>
      </c>
      <c r="C24" s="162" t="s">
        <v>180</v>
      </c>
      <c r="D24" s="162"/>
      <c r="E24" s="162"/>
      <c r="F24" s="103">
        <f>((AL_1_A_SAL_BASE+AL_1_B_ADIC_PERIC)/DIVISOR_DE_HORAS)*DIAS_NA_SEMANA*MEDIA_ANUAL_DIAS_TRABALHO_MES*PERC_ADIC_NOT%</f>
        <v>0</v>
      </c>
    </row>
    <row r="25" spans="2:8" ht="15.75" customHeight="1" x14ac:dyDescent="0.3">
      <c r="B25" s="24" t="s">
        <v>22</v>
      </c>
      <c r="C25" s="135" t="s">
        <v>181</v>
      </c>
      <c r="D25" s="135"/>
      <c r="E25" s="135"/>
      <c r="F25" s="104">
        <f>((AL_1_A_SAL_BASE+AL_1_B_ADIC_PERIC)/DIVISOR_DE_HORAS)*((HORA_NORMAL-HORA_NOTURNA)/HORA_NOTURNA)*DIAS_NA_SEMANA*MEDIA_ANUAL_DIAS_TRABALHO_MES*PERC_ADIC_NOT%</f>
        <v>0</v>
      </c>
    </row>
    <row r="26" spans="2:8" ht="15.75" customHeight="1" x14ac:dyDescent="0.3">
      <c r="B26" s="24" t="s">
        <v>25</v>
      </c>
      <c r="C26" s="146" t="s">
        <v>182</v>
      </c>
      <c r="D26" s="146"/>
      <c r="E26" s="146"/>
      <c r="F26" s="103">
        <f>PERC_ADIC_INS%*SAL_MINIMO</f>
        <v>0</v>
      </c>
    </row>
    <row r="27" spans="2:8" x14ac:dyDescent="0.3">
      <c r="B27" s="24" t="s">
        <v>50</v>
      </c>
      <c r="C27" s="138" t="str">
        <f>OUTROS_REMUNERACAO_1_DESCRICAO</f>
        <v>Outras Remunerações 1 (Especificar)</v>
      </c>
      <c r="D27" s="138"/>
      <c r="E27" s="138"/>
      <c r="F27" s="104">
        <f>OUTROS_REMUNERACAO_1</f>
        <v>0</v>
      </c>
    </row>
    <row r="28" spans="2:8" x14ac:dyDescent="0.3">
      <c r="B28" s="24" t="s">
        <v>52</v>
      </c>
      <c r="C28" s="137" t="str">
        <f>OUTROS_REMUNERACAO_2_DESCRICAO</f>
        <v>Outras Remunerações 2 (Especificar)</v>
      </c>
      <c r="D28" s="137"/>
      <c r="E28" s="137"/>
      <c r="F28" s="103">
        <f>OUTROS_REMUNERACAO_2</f>
        <v>0</v>
      </c>
    </row>
    <row r="29" spans="2:8" x14ac:dyDescent="0.3">
      <c r="B29" s="24" t="s">
        <v>128</v>
      </c>
      <c r="C29" s="138" t="str">
        <f>OUTROS_REMUNERACAO_3_DESCRICAO</f>
        <v>Outras Remunerações 3 (Especificar)</v>
      </c>
      <c r="D29" s="138"/>
      <c r="E29" s="138"/>
      <c r="F29" s="104">
        <f>OUTROS_REMUNERACAO_3</f>
        <v>0</v>
      </c>
    </row>
    <row r="30" spans="2:8" ht="16.5" customHeight="1" x14ac:dyDescent="0.3">
      <c r="B30" s="136" t="s">
        <v>153</v>
      </c>
      <c r="C30" s="136"/>
      <c r="D30" s="136"/>
      <c r="E30" s="136"/>
      <c r="F30" s="105">
        <f>SUM(F22:F29)</f>
        <v>6472.84</v>
      </c>
    </row>
    <row r="31" spans="2:8" x14ac:dyDescent="0.3">
      <c r="B31" s="42" t="s">
        <v>54</v>
      </c>
      <c r="E31" s="49"/>
      <c r="F31" s="49"/>
    </row>
    <row r="32" spans="2:8" x14ac:dyDescent="0.3">
      <c r="B32" s="42" t="s">
        <v>134</v>
      </c>
      <c r="C32" s="55"/>
      <c r="D32" s="56"/>
      <c r="E32" s="57"/>
      <c r="F32" s="57"/>
    </row>
    <row r="33" spans="2:8" x14ac:dyDescent="0.3">
      <c r="B33" s="24" t="s">
        <v>135</v>
      </c>
      <c r="C33" s="142" t="s">
        <v>136</v>
      </c>
      <c r="D33" s="142"/>
      <c r="E33" s="44" t="s">
        <v>72</v>
      </c>
      <c r="F33" s="44" t="s">
        <v>82</v>
      </c>
    </row>
    <row r="34" spans="2:8" ht="16.5" customHeight="1" x14ac:dyDescent="0.3">
      <c r="B34" s="24" t="s">
        <v>14</v>
      </c>
      <c r="C34" s="146" t="s">
        <v>138</v>
      </c>
      <c r="D34" s="146"/>
      <c r="E34" s="80">
        <f>PERC_DEC_TERC</f>
        <v>8.3333333333333321</v>
      </c>
      <c r="F34" s="76">
        <f>PERC_DEC_TERC%*MOD_1_REMUNERACAO</f>
        <v>539.40333333333319</v>
      </c>
    </row>
    <row r="35" spans="2:8" ht="16.5" customHeight="1" x14ac:dyDescent="0.3">
      <c r="B35" s="44" t="s">
        <v>16</v>
      </c>
      <c r="C35" s="135" t="s">
        <v>140</v>
      </c>
      <c r="D35" s="135"/>
      <c r="E35" s="82">
        <f>PERC_ADIC_FERIAS</f>
        <v>2.7777777777777777</v>
      </c>
      <c r="F35" s="77">
        <f>PERC_ADIC_FERIAS%*MOD_1_REMUNERACAO</f>
        <v>179.80111111111111</v>
      </c>
    </row>
    <row r="36" spans="2:8" s="48" customFormat="1" x14ac:dyDescent="0.3">
      <c r="B36" s="142" t="s">
        <v>153</v>
      </c>
      <c r="C36" s="142"/>
      <c r="D36" s="142"/>
      <c r="E36" s="142"/>
      <c r="F36" s="106">
        <f>SUM(F34:F35)</f>
        <v>719.20444444444433</v>
      </c>
      <c r="G36" s="107"/>
      <c r="H36" s="108"/>
    </row>
    <row r="37" spans="2:8" s="48" customFormat="1" ht="31.5" customHeight="1" x14ac:dyDescent="0.3">
      <c r="B37" s="163" t="s">
        <v>142</v>
      </c>
      <c r="C37" s="163"/>
      <c r="D37" s="163"/>
      <c r="E37" s="163"/>
      <c r="F37" s="163"/>
      <c r="G37" s="107"/>
      <c r="H37" s="108"/>
    </row>
    <row r="38" spans="2:8" s="48" customFormat="1" ht="34.5" customHeight="1" x14ac:dyDescent="0.3">
      <c r="B38" s="24" t="s">
        <v>143</v>
      </c>
      <c r="C38" s="151" t="s">
        <v>144</v>
      </c>
      <c r="D38" s="151"/>
      <c r="E38" s="44" t="s">
        <v>72</v>
      </c>
      <c r="F38" s="44" t="s">
        <v>82</v>
      </c>
      <c r="G38" s="107"/>
      <c r="H38" s="108"/>
    </row>
    <row r="39" spans="2:8" ht="16.5" customHeight="1" x14ac:dyDescent="0.3">
      <c r="B39" s="24" t="s">
        <v>14</v>
      </c>
      <c r="C39" s="146" t="s">
        <v>145</v>
      </c>
      <c r="D39" s="146"/>
      <c r="E39" s="80">
        <f>PERC_INSS</f>
        <v>20</v>
      </c>
      <c r="F39" s="76">
        <f>PERC_INSS%*(MOD_1_REMUNERACAO+SUBMOD_2_1_DEC_TERC_ADIC_FERIAS)</f>
        <v>1438.4088888888891</v>
      </c>
    </row>
    <row r="40" spans="2:8" s="17" customFormat="1" ht="16.5" customHeight="1" x14ac:dyDescent="0.15">
      <c r="B40" s="44" t="s">
        <v>16</v>
      </c>
      <c r="C40" s="135" t="s">
        <v>146</v>
      </c>
      <c r="D40" s="135"/>
      <c r="E40" s="82">
        <f>PERC_SAL_EDUCACAO</f>
        <v>2.5</v>
      </c>
      <c r="F40" s="77">
        <f>PERC_SAL_EDUCACAO%*(MOD_1_REMUNERACAO+SUBMOD_2_1_DEC_TERC_ADIC_FERIAS)</f>
        <v>179.80111111111114</v>
      </c>
      <c r="G40" s="88"/>
      <c r="H40" s="89"/>
    </row>
    <row r="41" spans="2:8" s="17" customFormat="1" ht="16.5" customHeight="1" x14ac:dyDescent="0.15">
      <c r="B41" s="44" t="s">
        <v>19</v>
      </c>
      <c r="C41" s="146" t="s">
        <v>147</v>
      </c>
      <c r="D41" s="146"/>
      <c r="E41" s="80">
        <f>PERC_RAT</f>
        <v>1</v>
      </c>
      <c r="F41" s="76">
        <f>PERC_RAT%*(MOD_1_REMUNERACAO+SUBMOD_2_1_DEC_TERC_ADIC_FERIAS)</f>
        <v>71.920444444444442</v>
      </c>
      <c r="G41" s="88"/>
      <c r="H41" s="89"/>
    </row>
    <row r="42" spans="2:8" s="17" customFormat="1" ht="16.5" customHeight="1" x14ac:dyDescent="0.15">
      <c r="B42" s="44" t="s">
        <v>22</v>
      </c>
      <c r="C42" s="135" t="s">
        <v>148</v>
      </c>
      <c r="D42" s="135"/>
      <c r="E42" s="82">
        <f>PERC_SESC</f>
        <v>1.5</v>
      </c>
      <c r="F42" s="77">
        <f>PERC_SESC%*(MOD_1_REMUNERACAO+SUBMOD_2_1_DEC_TERC_ADIC_FERIAS)</f>
        <v>107.88066666666667</v>
      </c>
      <c r="G42" s="88"/>
      <c r="H42" s="89"/>
    </row>
    <row r="43" spans="2:8" s="17" customFormat="1" ht="16.5" customHeight="1" x14ac:dyDescent="0.15">
      <c r="B43" s="44" t="s">
        <v>25</v>
      </c>
      <c r="C43" s="146" t="s">
        <v>149</v>
      </c>
      <c r="D43" s="146"/>
      <c r="E43" s="80">
        <f>PERC_SENAC</f>
        <v>1</v>
      </c>
      <c r="F43" s="76">
        <f>PERC_SENAC%*(MOD_1_REMUNERACAO+SUBMOD_2_1_DEC_TERC_ADIC_FERIAS)</f>
        <v>71.920444444444442</v>
      </c>
      <c r="G43" s="88"/>
      <c r="H43" s="89"/>
    </row>
    <row r="44" spans="2:8" s="17" customFormat="1" ht="16.5" customHeight="1" x14ac:dyDescent="0.15">
      <c r="B44" s="44" t="s">
        <v>50</v>
      </c>
      <c r="C44" s="135" t="s">
        <v>150</v>
      </c>
      <c r="D44" s="135"/>
      <c r="E44" s="82">
        <f>PERC_SEBRAE</f>
        <v>0.6</v>
      </c>
      <c r="F44" s="77">
        <f>PERC_SEBRAE%*(MOD_1_REMUNERACAO+SUBMOD_2_1_DEC_TERC_ADIC_FERIAS)</f>
        <v>43.152266666666669</v>
      </c>
      <c r="G44" s="88"/>
      <c r="H44" s="89"/>
    </row>
    <row r="45" spans="2:8" s="17" customFormat="1" ht="16.5" customHeight="1" x14ac:dyDescent="0.15">
      <c r="B45" s="44" t="s">
        <v>52</v>
      </c>
      <c r="C45" s="146" t="s">
        <v>151</v>
      </c>
      <c r="D45" s="146"/>
      <c r="E45" s="80">
        <f>PERC_INCRA</f>
        <v>0.2</v>
      </c>
      <c r="F45" s="76">
        <f>PERC_INCRA%*(MOD_1_REMUNERACAO+SUBMOD_2_1_DEC_TERC_ADIC_FERIAS)</f>
        <v>14.38408888888889</v>
      </c>
      <c r="G45" s="88"/>
      <c r="H45" s="89"/>
    </row>
    <row r="46" spans="2:8" ht="16.5" customHeight="1" x14ac:dyDescent="0.3">
      <c r="B46" s="44" t="s">
        <v>128</v>
      </c>
      <c r="C46" s="135" t="s">
        <v>152</v>
      </c>
      <c r="D46" s="135"/>
      <c r="E46" s="82">
        <f>PERC_FGTS</f>
        <v>8</v>
      </c>
      <c r="F46" s="77">
        <f>PERC_FGTS%*(MOD_1_REMUNERACAO+SUBMOD_2_1_DEC_TERC_ADIC_FERIAS)</f>
        <v>575.36355555555554</v>
      </c>
    </row>
    <row r="47" spans="2:8" x14ac:dyDescent="0.3">
      <c r="B47" s="142" t="s">
        <v>153</v>
      </c>
      <c r="C47" s="142"/>
      <c r="D47" s="142"/>
      <c r="E47" s="142"/>
      <c r="F47" s="105">
        <f>SUM(F39:F46)</f>
        <v>2502.831466666667</v>
      </c>
    </row>
    <row r="48" spans="2:8" ht="15.75" customHeight="1" x14ac:dyDescent="0.3">
      <c r="B48" s="42" t="s">
        <v>55</v>
      </c>
      <c r="C48" s="17"/>
      <c r="D48" s="17"/>
      <c r="E48" s="17"/>
      <c r="F48" s="17"/>
    </row>
    <row r="49" spans="2:8" ht="15.75" customHeight="1" x14ac:dyDescent="0.3">
      <c r="B49" s="24" t="s">
        <v>56</v>
      </c>
      <c r="C49" s="136" t="s">
        <v>57</v>
      </c>
      <c r="D49" s="136"/>
      <c r="E49" s="136"/>
      <c r="F49" s="44" t="s">
        <v>82</v>
      </c>
    </row>
    <row r="50" spans="2:8" ht="16.5" customHeight="1" x14ac:dyDescent="0.3">
      <c r="B50" s="22" t="s">
        <v>14</v>
      </c>
      <c r="C50" s="146" t="s">
        <v>60</v>
      </c>
      <c r="D50" s="146"/>
      <c r="E50" s="146"/>
      <c r="F50" s="76">
        <f>(11*22)-(AL_1_A_SAL_BASE*6%)</f>
        <v>-146.37040000000002</v>
      </c>
    </row>
    <row r="51" spans="2:8" s="48" customFormat="1" ht="16.5" customHeight="1" x14ac:dyDescent="0.3">
      <c r="B51" s="22" t="s">
        <v>16</v>
      </c>
      <c r="C51" s="135" t="s">
        <v>62</v>
      </c>
      <c r="D51" s="135"/>
      <c r="E51" s="135"/>
      <c r="F51" s="77">
        <f>ALIMENTACAO_POR_DIA*DIAS_TRABALHADOS_NO_MES</f>
        <v>957</v>
      </c>
      <c r="G51" s="107"/>
      <c r="H51" s="108"/>
    </row>
    <row r="52" spans="2:8" s="48" customFormat="1" x14ac:dyDescent="0.3">
      <c r="B52" s="22" t="s">
        <v>19</v>
      </c>
      <c r="C52" s="137" t="str">
        <f>OUTROS_BENEFICIOS_1_DESCRICAO</f>
        <v>Seguro de Vida</v>
      </c>
      <c r="D52" s="137"/>
      <c r="E52" s="137"/>
      <c r="F52" s="76">
        <f>OUTROS_BENEFICIOS_1</f>
        <v>3.9</v>
      </c>
      <c r="G52" s="107"/>
      <c r="H52" s="108"/>
    </row>
    <row r="53" spans="2:8" s="48" customFormat="1" x14ac:dyDescent="0.3">
      <c r="B53" s="22" t="s">
        <v>22</v>
      </c>
      <c r="C53" s="138" t="str">
        <f>OUTROS_BENEFICIOS_2_DESCRICAO</f>
        <v>Outros Benefícios 2 (Especificar)</v>
      </c>
      <c r="D53" s="138"/>
      <c r="E53" s="138"/>
      <c r="F53" s="77">
        <f>OUTROS_BENEFICIOS_2</f>
        <v>0</v>
      </c>
      <c r="G53" s="107"/>
      <c r="H53" s="108"/>
    </row>
    <row r="54" spans="2:8" s="48" customFormat="1" x14ac:dyDescent="0.3">
      <c r="B54" s="22" t="s">
        <v>25</v>
      </c>
      <c r="C54" s="137" t="str">
        <f>OUTROS_BENEFICIOS_3_DESCRICAO</f>
        <v>Outros Benefícios 3 (Especificar)</v>
      </c>
      <c r="D54" s="137"/>
      <c r="E54" s="137"/>
      <c r="F54" s="76">
        <f>OUTROS_BENEFICIOS_3</f>
        <v>0</v>
      </c>
      <c r="G54" s="107"/>
      <c r="H54" s="108"/>
    </row>
    <row r="55" spans="2:8" s="48" customFormat="1" ht="15" customHeight="1" x14ac:dyDescent="0.3">
      <c r="B55" s="136" t="s">
        <v>153</v>
      </c>
      <c r="C55" s="136"/>
      <c r="D55" s="136"/>
      <c r="E55" s="136"/>
      <c r="F55" s="105">
        <f>SUM(F50:F54)</f>
        <v>814.52959999999996</v>
      </c>
      <c r="G55" s="107"/>
      <c r="H55" s="108"/>
    </row>
    <row r="56" spans="2:8" s="48" customFormat="1" x14ac:dyDescent="0.3">
      <c r="B56" s="42" t="s">
        <v>113</v>
      </c>
      <c r="C56" s="55"/>
      <c r="D56" s="56"/>
      <c r="E56" s="57"/>
      <c r="F56" s="57"/>
      <c r="G56" s="107"/>
      <c r="H56" s="108"/>
    </row>
    <row r="57" spans="2:8" s="48" customFormat="1" ht="15" customHeight="1" x14ac:dyDescent="0.3">
      <c r="B57" s="24">
        <v>3</v>
      </c>
      <c r="C57" s="142" t="s">
        <v>114</v>
      </c>
      <c r="D57" s="142"/>
      <c r="E57" s="44" t="s">
        <v>72</v>
      </c>
      <c r="F57" s="44" t="s">
        <v>82</v>
      </c>
      <c r="G57" s="107"/>
      <c r="H57" s="108"/>
    </row>
    <row r="58" spans="2:8" s="48" customFormat="1" x14ac:dyDescent="0.3">
      <c r="B58" s="24" t="s">
        <v>14</v>
      </c>
      <c r="C58" s="152" t="s">
        <v>154</v>
      </c>
      <c r="D58" s="152"/>
      <c r="E58" s="80">
        <f>PERC_AVISO_PREVIO_IND</f>
        <v>0.29105124999999998</v>
      </c>
      <c r="F58" s="76">
        <f>PERC_AVISO_PREVIO_IND%*(MOD_1_REMUNERACAO+SUBMOD_2_1_DEC_TERC_ADIC_FERIAS+AL_2_2_FGTS+SUBMOD_2_3_BENEFICIOS)</f>
        <v>24.977836659020003</v>
      </c>
      <c r="G58" s="107"/>
      <c r="H58" s="108"/>
    </row>
    <row r="59" spans="2:8" s="48" customFormat="1" x14ac:dyDescent="0.3">
      <c r="B59" s="44" t="s">
        <v>16</v>
      </c>
      <c r="C59" s="153" t="s">
        <v>156</v>
      </c>
      <c r="D59" s="153"/>
      <c r="E59" s="82">
        <f>PERC_AVISO_PREVIO_TRAB</f>
        <v>1.1557269305555555</v>
      </c>
      <c r="F59" s="77">
        <f>PERC_AVISO_PREVIO_TRAB%*(MOD_1_REMUNERACAO+SUBMOD_2_1_DEC_TERC_ADIC_FERIAS+SUBMOD_2_2_GPS_FGTS+SUBMOD_2_3_BENEFICIOS)</f>
        <v>121.46002973320084</v>
      </c>
      <c r="G59" s="107"/>
      <c r="H59" s="108"/>
    </row>
    <row r="60" spans="2:8" s="17" customFormat="1" x14ac:dyDescent="0.15">
      <c r="B60" s="44" t="s">
        <v>19</v>
      </c>
      <c r="C60" s="152" t="s">
        <v>158</v>
      </c>
      <c r="D60" s="152"/>
      <c r="E60" s="80">
        <f>PERC_MULTA_FGTS_AV_PREV_TRAB</f>
        <v>0.04</v>
      </c>
      <c r="F60" s="76">
        <f>PERC_MULTA_FGTS_AV_PREV_TRAB%*(MOD_1_REMUNERACAO+SUBMOD_2_1_DEC_TERC_ADIC_FERIAS)</f>
        <v>2.8768177777777781</v>
      </c>
      <c r="G60" s="88"/>
      <c r="H60" s="89"/>
    </row>
    <row r="61" spans="2:8" s="17" customFormat="1" x14ac:dyDescent="0.3">
      <c r="B61" s="142" t="s">
        <v>153</v>
      </c>
      <c r="C61" s="142"/>
      <c r="D61" s="142"/>
      <c r="E61" s="142"/>
      <c r="F61" s="106">
        <f>SUM(F58:F60)</f>
        <v>149.31468416999863</v>
      </c>
      <c r="G61" s="88"/>
      <c r="H61" s="89"/>
    </row>
    <row r="62" spans="2:8" ht="7.5" customHeight="1" x14ac:dyDescent="0.3">
      <c r="B62" s="109"/>
      <c r="D62" s="34"/>
      <c r="E62" s="43"/>
      <c r="F62" s="43"/>
    </row>
    <row r="63" spans="2:8" s="17" customFormat="1" ht="15.75" customHeight="1" x14ac:dyDescent="0.3">
      <c r="B63" s="42" t="s">
        <v>68</v>
      </c>
      <c r="C63" s="55"/>
      <c r="D63" s="56"/>
      <c r="E63" s="14"/>
      <c r="F63" s="14"/>
      <c r="G63" s="88"/>
      <c r="H63" s="89"/>
    </row>
    <row r="64" spans="2:8" s="17" customFormat="1" ht="15.75" customHeight="1" x14ac:dyDescent="0.3">
      <c r="B64" s="42" t="s">
        <v>69</v>
      </c>
      <c r="C64" s="55"/>
      <c r="D64" s="56"/>
      <c r="E64" s="57"/>
      <c r="F64" s="57"/>
      <c r="G64" s="88"/>
      <c r="H64" s="89"/>
    </row>
    <row r="65" spans="2:8" s="17" customFormat="1" ht="16.5" customHeight="1" x14ac:dyDescent="0.15">
      <c r="B65" s="24" t="s">
        <v>70</v>
      </c>
      <c r="C65" s="136" t="s">
        <v>71</v>
      </c>
      <c r="D65" s="136"/>
      <c r="E65" s="44" t="s">
        <v>72</v>
      </c>
      <c r="F65" s="44" t="s">
        <v>82</v>
      </c>
      <c r="G65" s="88"/>
      <c r="H65" s="89"/>
    </row>
    <row r="66" spans="2:8" s="17" customFormat="1" ht="15.75" customHeight="1" x14ac:dyDescent="0.15">
      <c r="B66" s="44" t="s">
        <v>14</v>
      </c>
      <c r="C66" s="146" t="s">
        <v>160</v>
      </c>
      <c r="D66" s="146"/>
      <c r="E66" s="80">
        <f>PERC_SUBSTITUTO_FERIAS</f>
        <v>8.3333333333333321</v>
      </c>
      <c r="F66" s="76">
        <f>PERC_SUBSTITUTO_FERIAS%*(MOD_1_REMUNERACAO+MOD_2_ENCARGOS_BENEFICIOS+MOD_3_PROVISAO_RESCISAO)</f>
        <v>888.22668294009236</v>
      </c>
      <c r="G66" s="88"/>
      <c r="H66" s="89"/>
    </row>
    <row r="67" spans="2:8" s="17" customFormat="1" ht="15.75" customHeight="1" x14ac:dyDescent="0.15">
      <c r="B67" s="44" t="s">
        <v>16</v>
      </c>
      <c r="C67" s="135" t="s">
        <v>162</v>
      </c>
      <c r="D67" s="135"/>
      <c r="E67" s="82">
        <f>PERC_SUBSTITUTO_AUSENCIAS_LEGAIS</f>
        <v>0.27777777777777779</v>
      </c>
      <c r="F67" s="77">
        <f>PERC_SUBSTITUTO_AUSENCIAS_LEGAIS%*(MOD_1_REMUNERACAO+MOD_2_ENCARGOS_BENEFICIOS+MOD_3_PROVISAO_RESCISAO)</f>
        <v>29.607556098003084</v>
      </c>
      <c r="G67" s="88"/>
      <c r="H67" s="89"/>
    </row>
    <row r="68" spans="2:8" s="17" customFormat="1" ht="15.75" customHeight="1" x14ac:dyDescent="0.15">
      <c r="B68" s="44" t="s">
        <v>19</v>
      </c>
      <c r="C68" s="146" t="s">
        <v>164</v>
      </c>
      <c r="D68" s="146"/>
      <c r="E68" s="80">
        <f>PERC_SUBSTITUTO_LICENCA_PATERNIDADE</f>
        <v>6.2500000000000003E-3</v>
      </c>
      <c r="F68" s="76">
        <f>PERC_SUBSTITUTO_LICENCA_PATERNIDADE%*(MOD_1_REMUNERACAO+MOD_2_ENCARGOS_BENEFICIOS+MOD_3_PROVISAO_RESCISAO)</f>
        <v>0.66617001220506944</v>
      </c>
      <c r="G68" s="88"/>
      <c r="H68" s="89"/>
    </row>
    <row r="69" spans="2:8" s="17" customFormat="1" ht="16.5" customHeight="1" x14ac:dyDescent="0.15">
      <c r="B69" s="44" t="s">
        <v>22</v>
      </c>
      <c r="C69" s="135" t="s">
        <v>166</v>
      </c>
      <c r="D69" s="135"/>
      <c r="E69" s="82">
        <f>PERC_SUBSTITUTO_ACID_TRAB</f>
        <v>1.85302229372558E-2</v>
      </c>
      <c r="F69" s="77">
        <f>PERC_SUBSTITUTO_ACID_TRAB%*(MOD_1_REMUNERACAO+MOD_2_ENCARGOS_BENEFICIOS+MOD_3_PROVISAO_RESCISAO)</f>
        <v>1.9750846144438963</v>
      </c>
      <c r="G69" s="88"/>
      <c r="H69" s="89"/>
    </row>
    <row r="70" spans="2:8" s="17" customFormat="1" ht="16.5" customHeight="1" x14ac:dyDescent="0.15">
      <c r="B70" s="44" t="s">
        <v>25</v>
      </c>
      <c r="C70" s="146" t="s">
        <v>168</v>
      </c>
      <c r="D70" s="146"/>
      <c r="E70" s="80">
        <f>PERC_SUBSTITUTO_AFAST_MATERN</f>
        <v>0.10440000000000001</v>
      </c>
      <c r="F70" s="76">
        <f>PERC_SUBSTITUTO_AFAST_MATERN%*(MOD_1_REMUNERACAO+MOD_2_ENCARGOS_BENEFICIOS+MOD_3_PROVISAO_RESCISAO)</f>
        <v>11.12770388387348</v>
      </c>
      <c r="G70" s="88"/>
      <c r="H70" s="89"/>
    </row>
    <row r="71" spans="2:8" s="17" customFormat="1" x14ac:dyDescent="0.15">
      <c r="B71" s="44" t="s">
        <v>50</v>
      </c>
      <c r="C71" s="164" t="str">
        <f>OUTRAS_AUSENCIAS_DESCRICAO</f>
        <v>Outras Ausências (Especificar - em %)</v>
      </c>
      <c r="D71" s="164"/>
      <c r="E71" s="110">
        <f>PERC_SUBSTITUTO_OUTRAS_AUSENCIAS</f>
        <v>0</v>
      </c>
      <c r="F71" s="77">
        <f>PERC_SUBSTITUTO_OUTRAS_AUSENCIAS%*(MOD_1_REMUNERACAO+MOD_2_ENCARGOS_BENEFICIOS+MOD_3_PROVISAO_RESCISAO)</f>
        <v>0</v>
      </c>
      <c r="G71" s="88"/>
      <c r="H71" s="89"/>
    </row>
    <row r="72" spans="2:8" s="17" customFormat="1" x14ac:dyDescent="0.3">
      <c r="B72" s="142" t="s">
        <v>153</v>
      </c>
      <c r="C72" s="142"/>
      <c r="D72" s="142"/>
      <c r="E72" s="142"/>
      <c r="F72" s="106">
        <f>SUM(F66:F71)</f>
        <v>931.6031975486178</v>
      </c>
      <c r="G72" s="88"/>
      <c r="H72" s="89"/>
    </row>
    <row r="73" spans="2:8" s="17" customFormat="1" ht="15" customHeight="1" x14ac:dyDescent="0.3">
      <c r="B73" s="42" t="s">
        <v>74</v>
      </c>
      <c r="C73" s="55"/>
      <c r="D73" s="56"/>
      <c r="E73" s="57"/>
      <c r="F73" s="57"/>
      <c r="G73" s="88"/>
      <c r="H73" s="89"/>
    </row>
    <row r="74" spans="2:8" s="17" customFormat="1" x14ac:dyDescent="0.15">
      <c r="B74" s="24" t="s">
        <v>75</v>
      </c>
      <c r="C74" s="142" t="s">
        <v>76</v>
      </c>
      <c r="D74" s="142"/>
      <c r="E74" s="142"/>
      <c r="F74" s="44" t="s">
        <v>82</v>
      </c>
      <c r="G74" s="88"/>
      <c r="H74" s="89"/>
    </row>
    <row r="75" spans="2:8" s="17" customFormat="1" ht="16.5" customHeight="1" x14ac:dyDescent="0.15">
      <c r="B75" s="24" t="s">
        <v>14</v>
      </c>
      <c r="C75" s="146" t="s">
        <v>183</v>
      </c>
      <c r="D75" s="146"/>
      <c r="E75" s="146"/>
      <c r="F75" s="103">
        <f>IF(DIAS_TRABALHADOS_NO_MES=15,((MOD_1_REMUNERACAO+MOD_2_ENCARGOS_BENEFICIOS+MOD_3_PROVISAO_RESCISAO)/DIVISOR_DE_HORAS)*((TEMPO_INTERVALO_REFEICAO/HORA_NORMAL)+PERC_HORA_EXTRA%)*DIAS_TRABALHADOS_NO_MES,0)</f>
        <v>0</v>
      </c>
      <c r="G75" s="88"/>
      <c r="H75" s="89"/>
    </row>
    <row r="76" spans="2:8" s="17" customFormat="1" x14ac:dyDescent="0.3">
      <c r="B76" s="142" t="s">
        <v>153</v>
      </c>
      <c r="C76" s="142"/>
      <c r="D76" s="142"/>
      <c r="E76" s="142"/>
      <c r="F76" s="106">
        <f>SUM(F75)</f>
        <v>0</v>
      </c>
      <c r="G76" s="88"/>
      <c r="H76" s="89"/>
    </row>
    <row r="77" spans="2:8" ht="7.5" customHeight="1" x14ac:dyDescent="0.3">
      <c r="B77" s="109"/>
      <c r="D77" s="34"/>
      <c r="E77" s="43"/>
      <c r="F77" s="43"/>
    </row>
    <row r="78" spans="2:8" x14ac:dyDescent="0.3">
      <c r="B78" s="42" t="s">
        <v>80</v>
      </c>
      <c r="C78" s="55"/>
      <c r="D78" s="55"/>
      <c r="E78" s="57"/>
      <c r="F78" s="57"/>
    </row>
    <row r="79" spans="2:8" ht="15.75" customHeight="1" x14ac:dyDescent="0.3">
      <c r="B79" s="58">
        <v>5</v>
      </c>
      <c r="C79" s="143" t="s">
        <v>81</v>
      </c>
      <c r="D79" s="143"/>
      <c r="E79" s="143"/>
      <c r="F79" s="59" t="s">
        <v>82</v>
      </c>
    </row>
    <row r="80" spans="2:8" ht="16.5" customHeight="1" x14ac:dyDescent="0.3">
      <c r="B80" s="60" t="s">
        <v>14</v>
      </c>
      <c r="C80" s="144" t="s">
        <v>83</v>
      </c>
      <c r="D80" s="144"/>
      <c r="E80" s="144"/>
      <c r="F80" s="111">
        <f>UNIFORMES</f>
        <v>0</v>
      </c>
    </row>
    <row r="81" spans="2:8" ht="16.5" customHeight="1" x14ac:dyDescent="0.3">
      <c r="B81" s="60" t="s">
        <v>16</v>
      </c>
      <c r="C81" s="145" t="s">
        <v>84</v>
      </c>
      <c r="D81" s="145"/>
      <c r="E81" s="145"/>
      <c r="F81" s="112">
        <f>MATERIAIS</f>
        <v>0</v>
      </c>
    </row>
    <row r="82" spans="2:8" ht="16.5" customHeight="1" x14ac:dyDescent="0.3">
      <c r="B82" s="60" t="s">
        <v>19</v>
      </c>
      <c r="C82" s="144" t="s">
        <v>85</v>
      </c>
      <c r="D82" s="144"/>
      <c r="E82" s="144"/>
      <c r="F82" s="111">
        <f>EQUIPAMENTOS</f>
        <v>0</v>
      </c>
    </row>
    <row r="83" spans="2:8" x14ac:dyDescent="0.3">
      <c r="B83" s="60" t="s">
        <v>22</v>
      </c>
      <c r="C83" s="144" t="str">
        <f>OUTROS_INSUMOS_DESCRICAO</f>
        <v>Outros (Especificar)</v>
      </c>
      <c r="D83" s="144"/>
      <c r="E83" s="144"/>
      <c r="F83" s="111">
        <v>0</v>
      </c>
    </row>
    <row r="84" spans="2:8" ht="16.5" customHeight="1" x14ac:dyDescent="0.3">
      <c r="B84" s="143" t="s">
        <v>153</v>
      </c>
      <c r="C84" s="143"/>
      <c r="D84" s="143"/>
      <c r="E84" s="143"/>
      <c r="F84" s="113">
        <f>SUM(F80:F83)</f>
        <v>0</v>
      </c>
    </row>
    <row r="85" spans="2:8" ht="7.5" customHeight="1" x14ac:dyDescent="0.3">
      <c r="B85" s="109"/>
      <c r="D85" s="34"/>
      <c r="E85" s="43"/>
      <c r="F85" s="43"/>
    </row>
    <row r="86" spans="2:8" ht="15" customHeight="1" x14ac:dyDescent="0.3">
      <c r="B86" s="148" t="s">
        <v>87</v>
      </c>
      <c r="C86" s="148"/>
      <c r="D86" s="148"/>
      <c r="E86" s="148"/>
      <c r="F86" s="148"/>
    </row>
    <row r="87" spans="2:8" x14ac:dyDescent="0.3">
      <c r="B87" s="24">
        <v>6</v>
      </c>
      <c r="C87" s="142" t="s">
        <v>88</v>
      </c>
      <c r="D87" s="142"/>
      <c r="E87" s="44" t="s">
        <v>72</v>
      </c>
      <c r="F87" s="44" t="s">
        <v>82</v>
      </c>
    </row>
    <row r="88" spans="2:8" ht="16.5" customHeight="1" x14ac:dyDescent="0.3">
      <c r="B88" s="24" t="s">
        <v>14</v>
      </c>
      <c r="C88" s="146" t="s">
        <v>89</v>
      </c>
      <c r="D88" s="146"/>
      <c r="E88" s="114">
        <f>PERC_CUSTOS_INDIRETOS</f>
        <v>4.7300000000000004</v>
      </c>
      <c r="F88" s="76">
        <f>PERC_CUSTOS_INDIRETOS%*(MOD_1_REMUNERACAO+MOD_2_ENCARGOS_BENEFICIOS+MOD_3_PROVISAO_RESCISAO+MOD_4_CUSTO_REPOSICAO+MOD_5_INSUMOS)</f>
        <v>548.22229648084624</v>
      </c>
      <c r="G88" s="79"/>
    </row>
    <row r="89" spans="2:8" ht="15.75" customHeight="1" x14ac:dyDescent="0.3">
      <c r="B89" s="44" t="s">
        <v>16</v>
      </c>
      <c r="C89" s="135" t="s">
        <v>90</v>
      </c>
      <c r="D89" s="135"/>
      <c r="E89" s="115">
        <f>PERC_LUCRO</f>
        <v>5.57</v>
      </c>
      <c r="F89" s="77">
        <f>PERC_LUCRO%*(MOD_1_REMUNERACAO+MOD_2_ENCARGOS_BENEFICIOS+MOD_3_PROVISAO_RESCISAO+MOD_4_CUSTO_REPOSICAO+MOD_5_INSUMOS+AL_6_A_CUSTOS_INDIRETOS)</f>
        <v>676.11699489459897</v>
      </c>
      <c r="G89" s="79"/>
    </row>
    <row r="90" spans="2:8" ht="16.5" customHeight="1" x14ac:dyDescent="0.3">
      <c r="B90" s="44" t="s">
        <v>19</v>
      </c>
      <c r="C90" s="146" t="s">
        <v>184</v>
      </c>
      <c r="D90" s="146"/>
      <c r="E90" s="114">
        <f>SUM(E91:E93)</f>
        <v>8.65</v>
      </c>
      <c r="F90" s="76">
        <f>SUM(F91:F93)</f>
        <v>1213.4300188108896</v>
      </c>
    </row>
    <row r="91" spans="2:8" ht="15.75" customHeight="1" x14ac:dyDescent="0.3">
      <c r="B91" s="66" t="s">
        <v>91</v>
      </c>
      <c r="C91" s="165" t="s">
        <v>92</v>
      </c>
      <c r="D91" s="165"/>
      <c r="E91" s="116">
        <f>PERC_PIS</f>
        <v>0.65</v>
      </c>
      <c r="F91" s="117">
        <f>((MOD_1_REMUNERACAO+MOD_2_ENCARGOS_BENEFICIOS+MOD_3_PROVISAO_RESCISAO+MOD_4_CUSTO_REPOSICAO+MOD_5_INSUMOS+AL_6_A_CUSTOS_INDIRETOS+AL_6_B_LUCRO)*PERC_PIS%)/(1-PERC_TRIBUTOS%)</f>
        <v>91.182602569604427</v>
      </c>
    </row>
    <row r="92" spans="2:8" ht="16.5" customHeight="1" x14ac:dyDescent="0.3">
      <c r="B92" s="66" t="s">
        <v>93</v>
      </c>
      <c r="C92" s="166" t="s">
        <v>94</v>
      </c>
      <c r="D92" s="166"/>
      <c r="E92" s="118">
        <f>PERC_COFINS</f>
        <v>3</v>
      </c>
      <c r="F92" s="119">
        <f>((MOD_1_REMUNERACAO+MOD_2_ENCARGOS_BENEFICIOS+MOD_3_PROVISAO_RESCISAO+MOD_4_CUSTO_REPOSICAO+MOD_5_INSUMOS+AL_6_A_CUSTOS_INDIRETOS+AL_6_B_LUCRO)*PERC_COFINS%)/(1-PERC_TRIBUTOS%)</f>
        <v>420.84278109048188</v>
      </c>
    </row>
    <row r="93" spans="2:8" s="48" customFormat="1" ht="16.5" customHeight="1" x14ac:dyDescent="0.3">
      <c r="B93" s="66" t="s">
        <v>95</v>
      </c>
      <c r="C93" s="165" t="s">
        <v>96</v>
      </c>
      <c r="D93" s="165"/>
      <c r="E93" s="116">
        <f>PERC_ISS</f>
        <v>5</v>
      </c>
      <c r="F93" s="117">
        <f>((MOD_1_REMUNERACAO+MOD_2_ENCARGOS_BENEFICIOS+MOD_3_PROVISAO_RESCISAO+MOD_4_CUSTO_REPOSICAO+MOD_5_INSUMOS+AL_6_A_CUSTOS_INDIRETOS+AL_6_B_LUCRO)*PERC_ISS%)/(1-PERC_TRIBUTOS%)</f>
        <v>701.4046351508033</v>
      </c>
      <c r="G93" s="107"/>
      <c r="H93" s="108"/>
    </row>
    <row r="94" spans="2:8" s="48" customFormat="1" x14ac:dyDescent="0.3">
      <c r="B94" s="142" t="s">
        <v>153</v>
      </c>
      <c r="C94" s="142"/>
      <c r="D94" s="142"/>
      <c r="E94" s="142"/>
      <c r="F94" s="120">
        <f>AL_6_A_CUSTOS_INDIRETOS+AL_6_B_LUCRO+AL_6_C_TRIBUTOS</f>
        <v>2437.7693101863347</v>
      </c>
      <c r="G94" s="107"/>
      <c r="H94" s="108"/>
    </row>
    <row r="95" spans="2:8" s="48" customFormat="1" ht="20.25" x14ac:dyDescent="0.3">
      <c r="B95" s="121" t="s">
        <v>185</v>
      </c>
      <c r="C95" s="122"/>
      <c r="D95" s="122"/>
      <c r="E95" s="122"/>
      <c r="F95" s="123"/>
      <c r="G95" s="107"/>
      <c r="H95" s="108"/>
    </row>
    <row r="96" spans="2:8" s="62" customFormat="1" ht="16.5" customHeight="1" x14ac:dyDescent="0.3">
      <c r="B96" s="44" t="s">
        <v>186</v>
      </c>
      <c r="C96" s="136" t="s">
        <v>187</v>
      </c>
      <c r="D96" s="136"/>
      <c r="E96" s="136"/>
      <c r="F96" s="44" t="s">
        <v>188</v>
      </c>
      <c r="G96" s="124"/>
      <c r="H96" s="125"/>
    </row>
    <row r="97" spans="2:8" s="48" customFormat="1" ht="16.5" customHeight="1" x14ac:dyDescent="0.3">
      <c r="B97" s="24">
        <v>1</v>
      </c>
      <c r="C97" s="146" t="s">
        <v>43</v>
      </c>
      <c r="D97" s="146"/>
      <c r="E97" s="146"/>
      <c r="F97" s="76">
        <f>MOD_1_REMUNERACAO</f>
        <v>6472.84</v>
      </c>
      <c r="G97" s="107"/>
      <c r="H97" s="108"/>
    </row>
    <row r="98" spans="2:8" ht="16.5" customHeight="1" x14ac:dyDescent="0.3">
      <c r="B98" s="44">
        <v>2</v>
      </c>
      <c r="C98" s="135" t="s">
        <v>189</v>
      </c>
      <c r="D98" s="135"/>
      <c r="E98" s="135"/>
      <c r="F98" s="77">
        <f>MOD_2_ENCARGOS_BENEFICIOS</f>
        <v>4036.5655111111109</v>
      </c>
    </row>
    <row r="99" spans="2:8" ht="16.5" customHeight="1" x14ac:dyDescent="0.3">
      <c r="B99" s="44">
        <v>3</v>
      </c>
      <c r="C99" s="146" t="s">
        <v>114</v>
      </c>
      <c r="D99" s="146"/>
      <c r="E99" s="146"/>
      <c r="F99" s="76">
        <f>MOD_3_PROVISAO_RESCISAO</f>
        <v>149.31468416999863</v>
      </c>
    </row>
    <row r="100" spans="2:8" ht="16.5" customHeight="1" x14ac:dyDescent="0.3">
      <c r="B100" s="44">
        <v>4</v>
      </c>
      <c r="C100" s="135" t="s">
        <v>190</v>
      </c>
      <c r="D100" s="135"/>
      <c r="E100" s="135"/>
      <c r="F100" s="77">
        <f>MOD_4_CUSTO_REPOSICAO</f>
        <v>931.6031975486178</v>
      </c>
    </row>
    <row r="101" spans="2:8" ht="16.5" customHeight="1" x14ac:dyDescent="0.3">
      <c r="B101" s="44">
        <v>5</v>
      </c>
      <c r="C101" s="146" t="s">
        <v>81</v>
      </c>
      <c r="D101" s="146"/>
      <c r="E101" s="146"/>
      <c r="F101" s="76">
        <f>MOD_5_INSUMOS</f>
        <v>0</v>
      </c>
      <c r="G101" s="79"/>
      <c r="H101" s="14"/>
    </row>
    <row r="102" spans="2:8" ht="16.5" customHeight="1" x14ac:dyDescent="0.3">
      <c r="B102" s="44">
        <v>6</v>
      </c>
      <c r="C102" s="135" t="s">
        <v>88</v>
      </c>
      <c r="D102" s="135"/>
      <c r="E102" s="135"/>
      <c r="F102" s="77">
        <f>MOD_6_CUSTOS_IND_LUCRO_TRIB</f>
        <v>2437.7693101863347</v>
      </c>
    </row>
    <row r="103" spans="2:8" ht="16.5" customHeight="1" x14ac:dyDescent="0.3">
      <c r="B103" s="136" t="s">
        <v>191</v>
      </c>
      <c r="C103" s="136"/>
      <c r="D103" s="136"/>
      <c r="E103" s="136"/>
      <c r="F103" s="120">
        <f>SUM(F97:F102)</f>
        <v>14028.092703016064</v>
      </c>
      <c r="G103" s="79"/>
    </row>
    <row r="104" spans="2:8" ht="16.5" customHeight="1" x14ac:dyDescent="0.3">
      <c r="B104" s="136" t="s">
        <v>192</v>
      </c>
      <c r="C104" s="136"/>
      <c r="D104" s="136"/>
      <c r="E104" s="136"/>
      <c r="F104" s="120">
        <f>VALOR_TOTAL_EMPREGADO*EMPREG_POR_POSTO</f>
        <v>14028.092703016064</v>
      </c>
    </row>
    <row r="105" spans="2:8" ht="16.5" customHeight="1" x14ac:dyDescent="0.3">
      <c r="B105" s="136" t="s">
        <v>193</v>
      </c>
      <c r="C105" s="136"/>
      <c r="D105" s="136"/>
      <c r="E105" s="136"/>
      <c r="F105" s="120">
        <f>VALOR_TOTAL_EMPREGADO*EMPREG_POR_POSTO*QTDE_POSTOS</f>
        <v>28056.185406032128</v>
      </c>
    </row>
  </sheetData>
  <mergeCells count="94">
    <mergeCell ref="B103:E103"/>
    <mergeCell ref="B104:E104"/>
    <mergeCell ref="B105:E105"/>
    <mergeCell ref="C98:E98"/>
    <mergeCell ref="C99:E99"/>
    <mergeCell ref="C100:E100"/>
    <mergeCell ref="C101:E101"/>
    <mergeCell ref="C102:E102"/>
    <mergeCell ref="C92:D92"/>
    <mergeCell ref="C93:D93"/>
    <mergeCell ref="B94:E94"/>
    <mergeCell ref="C96:E96"/>
    <mergeCell ref="C97:E97"/>
    <mergeCell ref="C87:D87"/>
    <mergeCell ref="C88:D88"/>
    <mergeCell ref="C89:D89"/>
    <mergeCell ref="C90:D90"/>
    <mergeCell ref="C91:D91"/>
    <mergeCell ref="C81:E81"/>
    <mergeCell ref="C82:E82"/>
    <mergeCell ref="C83:E83"/>
    <mergeCell ref="B84:E84"/>
    <mergeCell ref="B86:F86"/>
    <mergeCell ref="C74:E74"/>
    <mergeCell ref="C75:E75"/>
    <mergeCell ref="B76:E76"/>
    <mergeCell ref="C79:E79"/>
    <mergeCell ref="C80:E80"/>
    <mergeCell ref="C68:D68"/>
    <mergeCell ref="C69:D69"/>
    <mergeCell ref="C70:D70"/>
    <mergeCell ref="C71:D71"/>
    <mergeCell ref="B72:E72"/>
    <mergeCell ref="C60:D60"/>
    <mergeCell ref="B61:E61"/>
    <mergeCell ref="C65:D65"/>
    <mergeCell ref="C66:D66"/>
    <mergeCell ref="C67:D67"/>
    <mergeCell ref="C54:E54"/>
    <mergeCell ref="B55:E55"/>
    <mergeCell ref="C57:D57"/>
    <mergeCell ref="C58:D58"/>
    <mergeCell ref="C59:D59"/>
    <mergeCell ref="C49:E49"/>
    <mergeCell ref="C50:E50"/>
    <mergeCell ref="C51:E51"/>
    <mergeCell ref="C52:E52"/>
    <mergeCell ref="C53:E53"/>
    <mergeCell ref="C43:D43"/>
    <mergeCell ref="C44:D44"/>
    <mergeCell ref="C45:D45"/>
    <mergeCell ref="C46:D46"/>
    <mergeCell ref="B47:E47"/>
    <mergeCell ref="C38:D38"/>
    <mergeCell ref="C39:D39"/>
    <mergeCell ref="C40:D40"/>
    <mergeCell ref="C41:D41"/>
    <mergeCell ref="C42:D42"/>
    <mergeCell ref="C33:D33"/>
    <mergeCell ref="C34:D34"/>
    <mergeCell ref="C35:D35"/>
    <mergeCell ref="B36:E36"/>
    <mergeCell ref="B37:F37"/>
    <mergeCell ref="C26:E26"/>
    <mergeCell ref="C27:E27"/>
    <mergeCell ref="C28:E28"/>
    <mergeCell ref="C29:E29"/>
    <mergeCell ref="B30:E30"/>
    <mergeCell ref="C21:E21"/>
    <mergeCell ref="C22:E22"/>
    <mergeCell ref="C23:E23"/>
    <mergeCell ref="C24:E24"/>
    <mergeCell ref="C25:E25"/>
    <mergeCell ref="D15:F15"/>
    <mergeCell ref="D16:F16"/>
    <mergeCell ref="C17:E17"/>
    <mergeCell ref="B18:F18"/>
    <mergeCell ref="B19:E19"/>
    <mergeCell ref="C10:E10"/>
    <mergeCell ref="C11:E11"/>
    <mergeCell ref="C12:E12"/>
    <mergeCell ref="C14:D14"/>
    <mergeCell ref="E14:F14"/>
    <mergeCell ref="B6:C6"/>
    <mergeCell ref="D6:E6"/>
    <mergeCell ref="B7:F7"/>
    <mergeCell ref="C8:E8"/>
    <mergeCell ref="D9:F9"/>
    <mergeCell ref="B1:F1"/>
    <mergeCell ref="B2:D2"/>
    <mergeCell ref="B3:F3"/>
    <mergeCell ref="B4:F4"/>
    <mergeCell ref="B5:C5"/>
    <mergeCell ref="D5:F5"/>
  </mergeCells>
  <printOptions horizontalCentered="1"/>
  <pageMargins left="7.8472222222222193E-2" right="7.8472222222222193E-2" top="1.2395833333333299" bottom="1.43611111111111" header="0.31527777777777799" footer="0.31527777777777799"/>
  <pageSetup paperSize="9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21"/>
  <sheetViews>
    <sheetView tabSelected="1" view="pageBreakPreview" zoomScaleNormal="100" workbookViewId="0">
      <selection activeCell="H9" sqref="H9"/>
    </sheetView>
  </sheetViews>
  <sheetFormatPr defaultColWidth="8.7109375" defaultRowHeight="12.75" x14ac:dyDescent="0.2"/>
  <cols>
    <col min="1" max="1" width="0.85546875" customWidth="1"/>
    <col min="2" max="2" width="0.5703125" customWidth="1"/>
    <col min="3" max="3" width="7" customWidth="1"/>
    <col min="4" max="4" width="26.42578125" customWidth="1"/>
    <col min="5" max="5" width="20.7109375" customWidth="1"/>
    <col min="6" max="6" width="12" customWidth="1"/>
    <col min="7" max="7" width="21.42578125" customWidth="1"/>
    <col min="8" max="8" width="30.85546875" customWidth="1"/>
    <col min="9" max="10" width="14" customWidth="1"/>
  </cols>
  <sheetData>
    <row r="4" spans="3:11" ht="20.25" x14ac:dyDescent="0.2">
      <c r="C4" s="168" t="s">
        <v>194</v>
      </c>
      <c r="D4" s="168"/>
      <c r="E4" s="168"/>
      <c r="F4" s="168"/>
      <c r="G4" s="168"/>
      <c r="H4" s="168"/>
    </row>
    <row r="5" spans="3:11" ht="66" x14ac:dyDescent="0.2">
      <c r="C5" s="1" t="s">
        <v>195</v>
      </c>
      <c r="D5" s="1" t="s">
        <v>29</v>
      </c>
      <c r="E5" s="2" t="s">
        <v>196</v>
      </c>
      <c r="F5" s="2" t="s">
        <v>197</v>
      </c>
      <c r="G5" s="2" t="s">
        <v>198</v>
      </c>
      <c r="H5" s="2" t="s">
        <v>199</v>
      </c>
    </row>
    <row r="6" spans="3:11" ht="16.5" x14ac:dyDescent="0.2">
      <c r="C6" s="1" t="s">
        <v>104</v>
      </c>
      <c r="D6" s="3" t="str">
        <f>IF(TIPO_DE_SERVICO="","",TIPO_DE_SERVICO)</f>
        <v>Operador de Mídia Audiovisual</v>
      </c>
      <c r="E6" s="4" t="s">
        <v>18</v>
      </c>
      <c r="F6" s="4">
        <v>2</v>
      </c>
      <c r="G6" s="5">
        <f>'OPERADOR DE MÍDIA AUDIOVISUAL'!VALOR_TOTAL_EMPREGADO</f>
        <v>14028.092703016064</v>
      </c>
      <c r="H6" s="5">
        <f>G6*F6</f>
        <v>28056.185406032128</v>
      </c>
    </row>
    <row r="7" spans="3:11" ht="16.350000000000001" customHeight="1" x14ac:dyDescent="0.2">
      <c r="C7" s="169" t="s">
        <v>200</v>
      </c>
      <c r="D7" s="169"/>
      <c r="E7" s="169"/>
      <c r="F7" s="6">
        <v>2</v>
      </c>
      <c r="G7" s="7"/>
      <c r="H7" s="8">
        <f>H6</f>
        <v>28056.185406032128</v>
      </c>
    </row>
    <row r="8" spans="3:11" ht="16.5" x14ac:dyDescent="0.2">
      <c r="C8" s="167" t="s">
        <v>201</v>
      </c>
      <c r="D8" s="167"/>
      <c r="E8" s="167"/>
      <c r="F8" s="6"/>
      <c r="G8" s="9"/>
      <c r="H8" s="8">
        <v>2</v>
      </c>
    </row>
    <row r="9" spans="3:11" ht="16.5" x14ac:dyDescent="0.2">
      <c r="C9" s="167" t="s">
        <v>202</v>
      </c>
      <c r="D9" s="167"/>
      <c r="E9" s="167"/>
      <c r="F9" s="6"/>
      <c r="G9" s="9"/>
      <c r="H9" s="8">
        <v>258.79000000000002</v>
      </c>
    </row>
    <row r="10" spans="3:11" ht="16.5" x14ac:dyDescent="0.2">
      <c r="C10" s="167" t="s">
        <v>203</v>
      </c>
      <c r="D10" s="167"/>
      <c r="E10" s="167"/>
      <c r="F10" s="6"/>
      <c r="G10" s="9"/>
      <c r="H10" s="8">
        <f>H7+(H8*H9)</f>
        <v>28573.765406032129</v>
      </c>
      <c r="I10" s="10"/>
    </row>
    <row r="11" spans="3:11" ht="16.5" x14ac:dyDescent="0.2">
      <c r="C11" s="167" t="s">
        <v>204</v>
      </c>
      <c r="D11" s="167"/>
      <c r="E11" s="167"/>
      <c r="F11" s="6"/>
      <c r="G11" s="9"/>
      <c r="H11" s="8">
        <f>H10*12</f>
        <v>342885.18487238558</v>
      </c>
      <c r="I11" s="11"/>
      <c r="J11" s="11"/>
      <c r="K11" s="12"/>
    </row>
    <row r="21" spans="7:7" x14ac:dyDescent="0.2">
      <c r="G21" s="13"/>
    </row>
  </sheetData>
  <mergeCells count="6">
    <mergeCell ref="C11:E11"/>
    <mergeCell ref="C4:H4"/>
    <mergeCell ref="C7:E7"/>
    <mergeCell ref="C8:E8"/>
    <mergeCell ref="C9:E9"/>
    <mergeCell ref="C10:E10"/>
  </mergeCells>
  <printOptions horizontalCentered="1"/>
  <pageMargins left="7.8472222222222193E-2" right="7.8472222222222193E-2" top="1.2395833333333299" bottom="1.43611111111111" header="0.31527777777777799" footer="0.31527777777777799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128</vt:i4>
      </vt:variant>
    </vt:vector>
  </HeadingPairs>
  <TitlesOfParts>
    <vt:vector size="133" baseType="lpstr">
      <vt:lpstr>INSERÇÃO-DE-DADOS</vt:lpstr>
      <vt:lpstr>DADOS-ESTATISTICOS</vt:lpstr>
      <vt:lpstr>ENCARGOS-SOCIAIS-E-TRABALHISTAS</vt:lpstr>
      <vt:lpstr>OPERADOR DE MÍDIA AUDIOVISUAL</vt:lpstr>
      <vt:lpstr>CONSOLIDADO</vt:lpstr>
      <vt:lpstr>ACORDO_COLETIVO</vt:lpstr>
      <vt:lpstr>'OPERADOR DE MÍDIA AUDIOVISUAL'!AL_1_A_SAL_BASE</vt:lpstr>
      <vt:lpstr>'OPERADOR DE MÍDIA AUDIOVISUAL'!AL_1_B_ADIC_PERIC</vt:lpstr>
      <vt:lpstr>'OPERADOR DE MÍDIA AUDIOVISUAL'!AL_1_C_ADIC_NOT</vt:lpstr>
      <vt:lpstr>'OPERADOR DE MÍDIA AUDIOVISUAL'!AL_1_D_ADIC_NOT_RED</vt:lpstr>
      <vt:lpstr>'OPERADOR DE MÍDIA AUDIOVISUAL'!AL_2_1_A_DEC_TERC</vt:lpstr>
      <vt:lpstr>'OPERADOR DE MÍDIA AUDIOVISUAL'!AL_2_1_B_ADIC_FERIAS</vt:lpstr>
      <vt:lpstr>'OPERADOR DE MÍDIA AUDIOVISUAL'!AL_2_2_FGTS</vt:lpstr>
      <vt:lpstr>'OPERADOR DE MÍDIA AUDIOVISUAL'!AL_2_3_A_TRANSP</vt:lpstr>
      <vt:lpstr>'OPERADOR DE MÍDIA AUDIOVISUAL'!AL_2_3_B_AUX_ALIMENT</vt:lpstr>
      <vt:lpstr>'OPERADOR DE MÍDIA AUDIOVISUAL'!AL_2_3_C_OUTROS_BENEF</vt:lpstr>
      <vt:lpstr>'OPERADOR DE MÍDIA AUDIOVISUAL'!AL_2_A_ATE_2_G_GPS</vt:lpstr>
      <vt:lpstr>'OPERADOR DE MÍDIA AUDIOVISUAL'!AL_6_A_CUSTOS_INDIRETOS</vt:lpstr>
      <vt:lpstr>'OPERADOR DE MÍDIA AUDIOVISUAL'!AL_6_B_LUCRO</vt:lpstr>
      <vt:lpstr>'OPERADOR DE MÍDIA AUDIOVISUAL'!AL_6_C_1_PIS</vt:lpstr>
      <vt:lpstr>'OPERADOR DE MÍDIA AUDIOVISUAL'!AL_6_C_2_COFINS</vt:lpstr>
      <vt:lpstr>'OPERADOR DE MÍDIA AUDIOVISUAL'!AL_6_C_3_ISS</vt:lpstr>
      <vt:lpstr>'OPERADOR DE MÍDIA AUDIOVISUAL'!AL_6_C_TRIBUTOS</vt:lpstr>
      <vt:lpstr>ALIMENTACAO_POR_DIA</vt:lpstr>
      <vt:lpstr>CONSOLIDADO!Area_de_impressao</vt:lpstr>
      <vt:lpstr>'DADOS-ESTATISTICOS'!Area_de_impressao</vt:lpstr>
      <vt:lpstr>'ENCARGOS-SOCIAIS-E-TRABALHISTAS'!Area_de_impressao</vt:lpstr>
      <vt:lpstr>'INSERÇÃO-DE-DADOS'!Area_de_impressao</vt:lpstr>
      <vt:lpstr>'OPERADOR DE MÍDIA AUDIOVISUAL'!Area_de_impressao</vt:lpstr>
      <vt:lpstr>CATEGORIA_PROFISSIONAL</vt:lpstr>
      <vt:lpstr>CBO</vt:lpstr>
      <vt:lpstr>DATA_APRESENTACAO_PROPOSTA</vt:lpstr>
      <vt:lpstr>DATA_BASE_CATEGORIA</vt:lpstr>
      <vt:lpstr>DATA_DO_ORCAMENTO_ESTIMATIVO</vt:lpstr>
      <vt:lpstr>DATA_LICITACAO</vt:lpstr>
      <vt:lpstr>DIAS_AUSENCIAS_LEGAIS</vt:lpstr>
      <vt:lpstr>DIAS_LICENCA_MATERNIDADE</vt:lpstr>
      <vt:lpstr>DIAS_LICENCA_PATERNIDADE</vt:lpstr>
      <vt:lpstr>DIAS_NA_SEMANA</vt:lpstr>
      <vt:lpstr>DIAS_NO_ANO</vt:lpstr>
      <vt:lpstr>DIAS_NO_MES</vt:lpstr>
      <vt:lpstr>DIAS_PAGOS_EMPRESA_ACID_TRAB</vt:lpstr>
      <vt:lpstr>DIAS_TRABALHADOS_NO_MES</vt:lpstr>
      <vt:lpstr>DIVISOR_DE_HORAS</vt:lpstr>
      <vt:lpstr>EMPREG_POR_POSTO</vt:lpstr>
      <vt:lpstr>EQUIPAMENTOS</vt:lpstr>
      <vt:lpstr>HORA_NORMAL</vt:lpstr>
      <vt:lpstr>HORA_NOTURNA</vt:lpstr>
      <vt:lpstr>HORARIO_LICITACAO</vt:lpstr>
      <vt:lpstr>LOCAL_DE_EXECUCAO</vt:lpstr>
      <vt:lpstr>MATERIAIS</vt:lpstr>
      <vt:lpstr>MEDIA_ANUAL_DIAS_TRABALHO_MES</vt:lpstr>
      <vt:lpstr>MESES_NO_ANO</vt:lpstr>
      <vt:lpstr>'OPERADOR DE MÍDIA AUDIOVISUAL'!MOD_1_REMUNERACAO</vt:lpstr>
      <vt:lpstr>'OPERADOR DE MÍDIA AUDIOVISUAL'!MOD_3_PROVISAO_RESCISAO</vt:lpstr>
      <vt:lpstr>'OPERADOR DE MÍDIA AUDIOVISUAL'!MOD_5_INSUMOS</vt:lpstr>
      <vt:lpstr>'OPERADOR DE MÍDIA AUDIOVISUAL'!MOD_6_CUSTOS_IND_LUCRO_TRIB</vt:lpstr>
      <vt:lpstr>MODALIDADE_DE_LICITACAO</vt:lpstr>
      <vt:lpstr>NUMERO_MESES_EXEC_CONTRATUAL</vt:lpstr>
      <vt:lpstr>NUMERO_PREGAO</vt:lpstr>
      <vt:lpstr>NUMERO_PROCESSO</vt:lpstr>
      <vt:lpstr>OUTRAS_AUSENCIAS</vt:lpstr>
      <vt:lpstr>OUTRAS_AUSENCIAS_DESCRICAO</vt:lpstr>
      <vt:lpstr>OUTROS_BENEFICIOS_1</vt:lpstr>
      <vt:lpstr>OUTROS_BENEFICIOS_1_DESCRICAO</vt:lpstr>
      <vt:lpstr>OUTROS_BENEFICIOS_2</vt:lpstr>
      <vt:lpstr>OUTROS_BENEFICIOS_2_DESCRICAO</vt:lpstr>
      <vt:lpstr>OUTROS_BENEFICIOS_3</vt:lpstr>
      <vt:lpstr>OUTROS_BENEFICIOS_3_DESCRICAO</vt:lpstr>
      <vt:lpstr>OUTROS_INSUMOS</vt:lpstr>
      <vt:lpstr>OUTROS_INSUMOS_DESCRICAO</vt:lpstr>
      <vt:lpstr>OUTROS_REMUNERACAO_1</vt:lpstr>
      <vt:lpstr>OUTROS_REMUNERACAO_1_DESCRICAO</vt:lpstr>
      <vt:lpstr>OUTROS_REMUNERACAO_2</vt:lpstr>
      <vt:lpstr>OUTROS_REMUNERACAO_2_DESCRICAO</vt:lpstr>
      <vt:lpstr>OUTROS_REMUNERACAO_3</vt:lpstr>
      <vt:lpstr>OUTROS_REMUNERACAO_3_DESCRICAO</vt:lpstr>
      <vt:lpstr>PERC_ADIC_FERIAS</vt:lpstr>
      <vt:lpstr>PERC_ADIC_INS</vt:lpstr>
      <vt:lpstr>PERC_ADIC_NOT</vt:lpstr>
      <vt:lpstr>PERC_ADIC_PERIC</vt:lpstr>
      <vt:lpstr>PERC_AVISO_PREVIO_IND</vt:lpstr>
      <vt:lpstr>PERC_AVISO_PREVIO_TRAB</vt:lpstr>
      <vt:lpstr>PERC_COFINS</vt:lpstr>
      <vt:lpstr>PERC_CUSTOS_INDIRETOS</vt:lpstr>
      <vt:lpstr>PERC_DEC_TERC</vt:lpstr>
      <vt:lpstr>PERC_DESC_TRANSP_REMUNERACAO</vt:lpstr>
      <vt:lpstr>PERC_EMPREG_AFAST_TRAB</vt:lpstr>
      <vt:lpstr>PERC_EMPREG_AVISO_PREVIO_IND</vt:lpstr>
      <vt:lpstr>PERC_EMPREG_AVISO_PREVIO_TRAB</vt:lpstr>
      <vt:lpstr>PERC_EMPREG_DEMIT_SEM_JUSTA_CAUSA_TOTAL_DESLIG</vt:lpstr>
      <vt:lpstr>PERC_FGTS</vt:lpstr>
      <vt:lpstr>PERC_GPS_FGTS</vt:lpstr>
      <vt:lpstr>PERC_HORA_EXTRA</vt:lpstr>
      <vt:lpstr>PERC_INCRA</vt:lpstr>
      <vt:lpstr>PERC_INSS</vt:lpstr>
      <vt:lpstr>PERC_ISS</vt:lpstr>
      <vt:lpstr>PERC_LUCRO</vt:lpstr>
      <vt:lpstr>'OPERADOR DE MÍDIA AUDIOVISUAL'!PERC_MOD_3_PROVISAO_RESCISAO</vt:lpstr>
      <vt:lpstr>PERC_MULTA_FGTS</vt:lpstr>
      <vt:lpstr>PERC_MULTA_FGTS_AV_PREV_TRAB</vt:lpstr>
      <vt:lpstr>PERC_NASCIDOS_VIVOS_POPUL_FEM</vt:lpstr>
      <vt:lpstr>PERC_PARTIC_FEM_VIGIL</vt:lpstr>
      <vt:lpstr>PERC_PARTIC_MASC_VIGIL</vt:lpstr>
      <vt:lpstr>PERC_PIS</vt:lpstr>
      <vt:lpstr>PERC_RAT</vt:lpstr>
      <vt:lpstr>PERC_SAL_EDUCACAO</vt:lpstr>
      <vt:lpstr>PERC_SEBRAE</vt:lpstr>
      <vt:lpstr>PERC_SENAC</vt:lpstr>
      <vt:lpstr>PERC_SESC</vt:lpstr>
      <vt:lpstr>PERC_SUBSTITUTO_ACID_TRAB</vt:lpstr>
      <vt:lpstr>PERC_SUBSTITUTO_AFAST_MATERN</vt:lpstr>
      <vt:lpstr>PERC_SUBSTITUTO_AUSENCIAS_LEGAIS</vt:lpstr>
      <vt:lpstr>PERC_SUBSTITUTO_FERIAS</vt:lpstr>
      <vt:lpstr>PERC_SUBSTITUTO_LICENCA_PATERNIDADE</vt:lpstr>
      <vt:lpstr>PERC_SUBSTITUTO_OUTRAS_AUSENCIAS</vt:lpstr>
      <vt:lpstr>'OPERADOR DE MÍDIA AUDIOVISUAL'!PERC_TRIBUTOS</vt:lpstr>
      <vt:lpstr>'OPERADOR DE MÍDIA AUDIOVISUAL'!QTDE_POSTOS</vt:lpstr>
      <vt:lpstr>RAMO</vt:lpstr>
      <vt:lpstr>SAL_MINIMO</vt:lpstr>
      <vt:lpstr>SALARIO_BASE</vt:lpstr>
      <vt:lpstr>'OPERADOR DE MÍDIA AUDIOVISUAL'!SUBMOD_2_1_DEC_TERC_ADIC_FERIAS</vt:lpstr>
      <vt:lpstr>'OPERADOR DE MÍDIA AUDIOVISUAL'!SUBMOD_2_2_GPS_FGTS</vt:lpstr>
      <vt:lpstr>'OPERADOR DE MÍDIA AUDIOVISUAL'!SUBMOD_2_3_BENEFICIOS</vt:lpstr>
      <vt:lpstr>'OPERADOR DE MÍDIA AUDIOVISUAL'!SUBMOD_4_1_SUBSTITUTO</vt:lpstr>
      <vt:lpstr>'OPERADOR DE MÍDIA AUDIOVISUAL'!SUBMOD_4_2_INTRAJORNADA</vt:lpstr>
      <vt:lpstr>TEMPO_INTERVALO_REFEICAO</vt:lpstr>
      <vt:lpstr>TIPO_DE_SERVICO</vt:lpstr>
      <vt:lpstr>TRANSPORTE_POR_DIA</vt:lpstr>
      <vt:lpstr>UG</vt:lpstr>
      <vt:lpstr>UNIFORMES</vt:lpstr>
      <vt:lpstr>'OPERADOR DE MÍDIA AUDIOVISUAL'!VALOR_TOTAL_EMPREGADO</vt:lpstr>
      <vt:lpstr>'OPERADOR DE MÍDIA AUDIOVISUAL'!VALOR_TOTAL_POSTO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Felipe Flores da Silva</dc:creator>
  <cp:keywords/>
  <dc:description/>
  <cp:lastModifiedBy>Flávia Estefânia Borges Tegoshi</cp:lastModifiedBy>
  <cp:revision>2</cp:revision>
  <dcterms:created xsi:type="dcterms:W3CDTF">2014-02-07T18:14:59Z</dcterms:created>
  <dcterms:modified xsi:type="dcterms:W3CDTF">2024-11-05T18:10:20Z</dcterms:modified>
  <cp:category/>
  <cp:contentStatus/>
</cp:coreProperties>
</file>