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W:\SA_CLCE\CLCE 2025\PREGÕES ELETRÔNICOS\PE 03 - Apoio Administrativo\"/>
    </mc:Choice>
  </mc:AlternateContent>
  <xr:revisionPtr revIDLastSave="0" documentId="8_{418F46E3-E72E-4A8B-910B-DAF5577E9602}" xr6:coauthVersionLast="47" xr6:coauthVersionMax="47" xr10:uidLastSave="{00000000-0000-0000-0000-000000000000}"/>
  <bookViews>
    <workbookView xWindow="-120" yWindow="-120" windowWidth="29040" windowHeight="15720" tabRatio="986" xr2:uid="{00000000-000D-0000-FFFF-FFFF00000000}"/>
  </bookViews>
  <sheets>
    <sheet name="INSERÇÃO-DE-DADOS" sheetId="1" r:id="rId1"/>
    <sheet name="DADOS-ESTATISTICOS" sheetId="2" r:id="rId2"/>
    <sheet name="ENCARGOS-SOCIAIS-E-TRABALHISTAS" sheetId="3" r:id="rId3"/>
    <sheet name="ASSISTENTE ADMINISTRATIVO" sheetId="11" r:id="rId4"/>
    <sheet name="CARREGADOR" sheetId="5" r:id="rId5"/>
    <sheet name="COPEIRO" sheetId="6" r:id="rId6"/>
    <sheet name="ENCARREGADO GERAL" sheetId="7" r:id="rId7"/>
    <sheet name="GARÇOM" sheetId="8" r:id="rId8"/>
    <sheet name="OPERADOR DE MÁQ. REPROGRÁFICA" sheetId="9" r:id="rId9"/>
    <sheet name="RECEPCIONISTA" sheetId="10" r:id="rId10"/>
    <sheet name="QUADRO-RESUMO" sheetId="12" r:id="rId11"/>
  </sheets>
  <externalReferences>
    <externalReference r:id="rId12"/>
  </externalReferences>
  <definedNames>
    <definedName name="ACORDO_COLETIVO">'INSERÇÃO-DE-DADOS'!$F$14</definedName>
    <definedName name="AL_1_A_SAL_BASE" localSheetId="3">'ASSISTENTE ADMINISTRATIVO'!$F$22</definedName>
    <definedName name="AL_1_A_SAL_BASE" localSheetId="4">CARREGADOR!$F$22</definedName>
    <definedName name="AL_1_A_SAL_BASE" localSheetId="5">COPEIRO!$F$22</definedName>
    <definedName name="AL_1_A_SAL_BASE" localSheetId="6">'ENCARREGADO GERAL'!$F$22</definedName>
    <definedName name="AL_1_A_SAL_BASE" localSheetId="7">GARÇOM!$F$22</definedName>
    <definedName name="AL_1_A_SAL_BASE" localSheetId="8">'OPERADOR DE MÁQ. REPROGRÁFICA'!$F$22</definedName>
    <definedName name="AL_1_A_SAL_BASE" localSheetId="9">RECEPCIONISTA!$F$22</definedName>
    <definedName name="AL_1_B_ADIC_PERIC" localSheetId="3">'ASSISTENTE ADMINISTRATIVO'!$F$23</definedName>
    <definedName name="AL_1_B_ADIC_PERIC" localSheetId="4">CARREGADOR!$F$23</definedName>
    <definedName name="AL_1_B_ADIC_PERIC" localSheetId="5">COPEIRO!$F$23</definedName>
    <definedName name="AL_1_B_ADIC_PERIC" localSheetId="6">'ENCARREGADO GERAL'!$F$23</definedName>
    <definedName name="AL_1_B_ADIC_PERIC" localSheetId="7">GARÇOM!$F$23</definedName>
    <definedName name="AL_1_B_ADIC_PERIC" localSheetId="8">'OPERADOR DE MÁQ. REPROGRÁFICA'!$F$23</definedName>
    <definedName name="AL_1_B_ADIC_PERIC" localSheetId="9">RECEPCIONISTA!$F$23</definedName>
    <definedName name="AL_2_2_FGTS" localSheetId="3">'ASSISTENTE ADMINISTRATIVO'!$F$46</definedName>
    <definedName name="AL_2_2_FGTS" localSheetId="4">CARREGADOR!$F$46</definedName>
    <definedName name="AL_2_2_FGTS" localSheetId="5">COPEIRO!$F$46</definedName>
    <definedName name="AL_2_2_FGTS" localSheetId="6">'ENCARREGADO GERAL'!$F$46</definedName>
    <definedName name="AL_2_2_FGTS" localSheetId="7">GARÇOM!$F$46</definedName>
    <definedName name="AL_2_2_FGTS" localSheetId="8">'OPERADOR DE MÁQ. REPROGRÁFICA'!$F$46</definedName>
    <definedName name="AL_2_2_FGTS" localSheetId="9">RECEPCIONISTA!$F$46</definedName>
    <definedName name="AL_6_A_CUSTOS_INDIRETOS" localSheetId="3">'ASSISTENTE ADMINISTRATIVO'!$F$88</definedName>
    <definedName name="AL_6_A_CUSTOS_INDIRETOS" localSheetId="4">CARREGADOR!$F$88</definedName>
    <definedName name="AL_6_A_CUSTOS_INDIRETOS" localSheetId="5">COPEIRO!$F$88</definedName>
    <definedName name="AL_6_A_CUSTOS_INDIRETOS" localSheetId="6">'ENCARREGADO GERAL'!$F$88</definedName>
    <definedName name="AL_6_A_CUSTOS_INDIRETOS" localSheetId="7">GARÇOM!$F$88</definedName>
    <definedName name="AL_6_A_CUSTOS_INDIRETOS" localSheetId="8">'OPERADOR DE MÁQ. REPROGRÁFICA'!$F$88</definedName>
    <definedName name="AL_6_A_CUSTOS_INDIRETOS" localSheetId="9">RECEPCIONISTA!$F$88</definedName>
    <definedName name="AL_6_B_LUCRO" localSheetId="3">'ASSISTENTE ADMINISTRATIVO'!$F$89</definedName>
    <definedName name="AL_6_B_LUCRO" localSheetId="4">CARREGADOR!$F$89</definedName>
    <definedName name="AL_6_B_LUCRO" localSheetId="5">COPEIRO!$F$89</definedName>
    <definedName name="AL_6_B_LUCRO" localSheetId="6">'ENCARREGADO GERAL'!$F$89</definedName>
    <definedName name="AL_6_B_LUCRO" localSheetId="7">GARÇOM!$F$89</definedName>
    <definedName name="AL_6_B_LUCRO" localSheetId="8">'OPERADOR DE MÁQ. REPROGRÁFICA'!$F$89</definedName>
    <definedName name="AL_6_B_LUCRO" localSheetId="9">RECEPCIONISTA!$F$89</definedName>
    <definedName name="AL_6_C_TRIBUTOS" localSheetId="3">'ASSISTENTE ADMINISTRATIVO'!$F$90</definedName>
    <definedName name="AL_6_C_TRIBUTOS" localSheetId="4">CARREGADOR!$F$90</definedName>
    <definedName name="AL_6_C_TRIBUTOS" localSheetId="5">COPEIRO!$F$90</definedName>
    <definedName name="AL_6_C_TRIBUTOS" localSheetId="6">'ENCARREGADO GERAL'!$F$90</definedName>
    <definedName name="AL_6_C_TRIBUTOS" localSheetId="7">GARÇOM!$F$90</definedName>
    <definedName name="AL_6_C_TRIBUTOS" localSheetId="8">'OPERADOR DE MÁQ. REPROGRÁFICA'!$F$90</definedName>
    <definedName name="AL_6_C_TRIBUTOS" localSheetId="9">RECEPCIONISTA!$F$90</definedName>
    <definedName name="ALIMENTACAO_POR_DIA">'INSERÇÃO-DE-DADOS'!$F$61</definedName>
    <definedName name="CATEGORIA_PROFISSIONAL">'INSERÇÃO-DE-DADOS'!$D$36</definedName>
    <definedName name="CBO">'INSERÇÃO-DE-DADOS'!$D$29</definedName>
    <definedName name="DATA_APRESENTACAO_PROPOSTA">'INSERÇÃO-DE-DADOS'!$F$11</definedName>
    <definedName name="DATA_BASE_CATEGORIA">'INSERÇÃO-DE-DADOS'!$F$37</definedName>
    <definedName name="DATA_DO_ORCAMENTO_ESTIMATIVO">'INSERÇÃO-DE-DADOS'!$F$2</definedName>
    <definedName name="DATA_LICITACAO">'INSERÇÃO-DE-DADOS'!$D$8</definedName>
    <definedName name="DIAS_AUSENCIAS_LEGAIS">'DADOS-ESTATISTICOS'!$F$27</definedName>
    <definedName name="DIAS_LICENCA_MATERNIDADE">'DADOS-ESTATISTICOS'!$F$33</definedName>
    <definedName name="DIAS_LICENCA_PATERNIDADE">'DADOS-ESTATISTICOS'!$F$28</definedName>
    <definedName name="DIAS_NA_SEMANA">'DADOS-ESTATISTICOS'!$F$5</definedName>
    <definedName name="DIAS_NO_ANO">'DADOS-ESTATISTICOS'!$F$6</definedName>
    <definedName name="DIAS_NO_MES">'DADOS-ESTATISTICOS'!$F$22</definedName>
    <definedName name="DIAS_PAGOS_EMPRESA_ACID_TRAB">'DADOS-ESTATISTICOS'!$F$32</definedName>
    <definedName name="DIAS_TRABALHADOS_NO_MES">'INSERÇÃO-DE-DADOS'!$F$62</definedName>
    <definedName name="DIVISOR_DE_HORAS">'DADOS-ESTATISTICOS'!$F$4</definedName>
    <definedName name="EMPREG_POR_POSTO">'INSERÇÃO-DE-DADOS'!$E$19</definedName>
    <definedName name="EQUIPAMENTOS">'INSERÇÃO-DE-DADOS'!$F$93</definedName>
    <definedName name="HORA_NORMAL">'DADOS-ESTATISTICOS'!$F$9</definedName>
    <definedName name="HORA_NOTURNA">'DADOS-ESTATISTICOS'!$F$10</definedName>
    <definedName name="HORARIO_LICITACAO">'INSERÇÃO-DE-DADOS'!$F$8</definedName>
    <definedName name="LOCAL_DE_EXECUCAO">'INSERÇÃO-DE-DADOS'!$D$12</definedName>
    <definedName name="MATERIAIS">'INSERÇÃO-DE-DADOS'!$F$86</definedName>
    <definedName name="MEDIA_ANUAL_DIAS_TRABALHO_MES">'DADOS-ESTATISTICOS'!$F$7</definedName>
    <definedName name="MESES_NO_ANO">'DADOS-ESTATISTICOS'!$F$8</definedName>
    <definedName name="MOD_1_REMUNERACAO" localSheetId="3">'ASSISTENTE ADMINISTRATIVO'!$F$30</definedName>
    <definedName name="MOD_1_REMUNERACAO" localSheetId="4">CARREGADOR!$F$30</definedName>
    <definedName name="MOD_1_REMUNERACAO" localSheetId="5">COPEIRO!$F$30</definedName>
    <definedName name="MOD_1_REMUNERACAO" localSheetId="6">'ENCARREGADO GERAL'!$F$30</definedName>
    <definedName name="MOD_1_REMUNERACAO" localSheetId="7">GARÇOM!$F$30</definedName>
    <definedName name="MOD_1_REMUNERACAO" localSheetId="8">'OPERADOR DE MÁQ. REPROGRÁFICA'!$F$30</definedName>
    <definedName name="MOD_1_REMUNERACAO" localSheetId="9">RECEPCIONISTA!$F$30</definedName>
    <definedName name="MOD_2_ENCARGOS_BENEFICIOS" localSheetId="3">'ASSISTENTE ADMINISTRATIVO'!$F$36+'ASSISTENTE ADMINISTRATIVO'!$F$47+'ASSISTENTE ADMINISTRATIVO'!$F$55</definedName>
    <definedName name="MOD_2_ENCARGOS_BENEFICIOS" localSheetId="4">CARREGADOR!$F$36+CARREGADOR!$F$47+CARREGADOR!$F$55</definedName>
    <definedName name="MOD_2_ENCARGOS_BENEFICIOS" localSheetId="5">COPEIRO!$F$36+COPEIRO!$F$47+COPEIRO!$F$55</definedName>
    <definedName name="MOD_2_ENCARGOS_BENEFICIOS" localSheetId="6">'ENCARREGADO GERAL'!$F$36+'ENCARREGADO GERAL'!$F$47+'ENCARREGADO GERAL'!$F$55</definedName>
    <definedName name="MOD_2_ENCARGOS_BENEFICIOS" localSheetId="7">GARÇOM!$F$36+GARÇOM!$F$47+GARÇOM!$F$55</definedName>
    <definedName name="MOD_2_ENCARGOS_BENEFICIOS" localSheetId="8">'OPERADOR DE MÁQ. REPROGRÁFICA'!$F$36+'OPERADOR DE MÁQ. REPROGRÁFICA'!$F$47+'OPERADOR DE MÁQ. REPROGRÁFICA'!$F$55</definedName>
    <definedName name="MOD_2_ENCARGOS_BENEFICIOS" localSheetId="9">RECEPCIONISTA!$F$36+RECEPCIONISTA!$F$47+RECEPCIONISTA!$F$55</definedName>
    <definedName name="MOD_3_PROVISAO_RESCISAO" localSheetId="3">'ASSISTENTE ADMINISTRATIVO'!$F$61</definedName>
    <definedName name="MOD_3_PROVISAO_RESCISAO" localSheetId="4">CARREGADOR!$F$61</definedName>
    <definedName name="MOD_3_PROVISAO_RESCISAO" localSheetId="5">COPEIRO!$F$61</definedName>
    <definedName name="MOD_3_PROVISAO_RESCISAO" localSheetId="6">'ENCARREGADO GERAL'!$F$61</definedName>
    <definedName name="MOD_3_PROVISAO_RESCISAO" localSheetId="7">GARÇOM!$F$61</definedName>
    <definedName name="MOD_3_PROVISAO_RESCISAO" localSheetId="8">'OPERADOR DE MÁQ. REPROGRÁFICA'!$F$61</definedName>
    <definedName name="MOD_3_PROVISAO_RESCISAO" localSheetId="9">RECEPCIONISTA!$F$61</definedName>
    <definedName name="MOD_4_CUSTO_REPOSICAO" localSheetId="3">'ASSISTENTE ADMINISTRATIVO'!$F$72+'ASSISTENTE ADMINISTRATIVO'!$F$76</definedName>
    <definedName name="MOD_4_CUSTO_REPOSICAO" localSheetId="4">CARREGADOR!$F$72+CARREGADOR!$F$76</definedName>
    <definedName name="MOD_4_CUSTO_REPOSICAO" localSheetId="5">COPEIRO!$F$72+COPEIRO!$F$76</definedName>
    <definedName name="MOD_4_CUSTO_REPOSICAO" localSheetId="6">'ENCARREGADO GERAL'!$F$72+'ENCARREGADO GERAL'!$F$76</definedName>
    <definedName name="MOD_4_CUSTO_REPOSICAO" localSheetId="7">GARÇOM!$F$72+GARÇOM!$F$76</definedName>
    <definedName name="MOD_4_CUSTO_REPOSICAO" localSheetId="8">'OPERADOR DE MÁQ. REPROGRÁFICA'!$F$72+'OPERADOR DE MÁQ. REPROGRÁFICA'!$F$76</definedName>
    <definedName name="MOD_4_CUSTO_REPOSICAO" localSheetId="9">RECEPCIONISTA!$F$72+RECEPCIONISTA!$F$76</definedName>
    <definedName name="MOD_5_INSUMOS" localSheetId="3">'ASSISTENTE ADMINISTRATIVO'!$F$84</definedName>
    <definedName name="MOD_5_INSUMOS" localSheetId="4">CARREGADOR!$F$84</definedName>
    <definedName name="MOD_5_INSUMOS" localSheetId="5">COPEIRO!$F$84</definedName>
    <definedName name="MOD_5_INSUMOS" localSheetId="6">'ENCARREGADO GERAL'!$F$84</definedName>
    <definedName name="MOD_5_INSUMOS" localSheetId="7">GARÇOM!$F$84</definedName>
    <definedName name="MOD_5_INSUMOS" localSheetId="8">'OPERADOR DE MÁQ. REPROGRÁFICA'!$F$84</definedName>
    <definedName name="MOD_5_INSUMOS" localSheetId="9">RECEPCIONISTA!$F$84</definedName>
    <definedName name="MOD_6_CUSTOS_IND_LUCRO_TRIB" localSheetId="3">'ASSISTENTE ADMINISTRATIVO'!$F$94</definedName>
    <definedName name="MOD_6_CUSTOS_IND_LUCRO_TRIB" localSheetId="4">CARREGADOR!$F$94</definedName>
    <definedName name="MOD_6_CUSTOS_IND_LUCRO_TRIB" localSheetId="5">COPEIRO!$F$94</definedName>
    <definedName name="MOD_6_CUSTOS_IND_LUCRO_TRIB" localSheetId="6">'ENCARREGADO GERAL'!$F$94</definedName>
    <definedName name="MOD_6_CUSTOS_IND_LUCRO_TRIB" localSheetId="7">GARÇOM!$F$94</definedName>
    <definedName name="MOD_6_CUSTOS_IND_LUCRO_TRIB" localSheetId="8">'OPERADOR DE MÁQ. REPROGRÁFICA'!$F$94</definedName>
    <definedName name="MOD_6_CUSTOS_IND_LUCRO_TRIB" localSheetId="9">RECEPCIONISTA!$F$94</definedName>
    <definedName name="MODALIDADE_DE_LICITACAO">'INSERÇÃO-DE-DADOS'!$D$7</definedName>
    <definedName name="NUMERO_MESES_EXEC_CONTRATUAL">'INSERÇÃO-DE-DADOS'!$F$15</definedName>
    <definedName name="NUMERO_PREGAO">'INSERÇÃO-DE-DADOS'!$F$7</definedName>
    <definedName name="NUMERO_PROCESSO">'INSERÇÃO-DE-DADOS'!$D$6</definedName>
    <definedName name="OUTRAS_AUSENCIAS">'ENCARGOS-SOCIAIS-E-TRABALHISTAS'!$E$31</definedName>
    <definedName name="OUTRAS_AUSENCIAS_DESCRICAO">'INSERÇÃO-DE-DADOS'!$C$70</definedName>
    <definedName name="OUTROS_BENEFICIOS_1">'INSERÇÃO-DE-DADOS'!$F$63</definedName>
    <definedName name="OUTROS_BENEFICIOS_1_DESCRICAO">'INSERÇÃO-DE-DADOS'!$C$63</definedName>
    <definedName name="OUTROS_BENEFICIOS_2">'INSERÇÃO-DE-DADOS'!$F$64</definedName>
    <definedName name="OUTROS_BENEFICIOS_2_DESCRICAO">'INSERÇÃO-DE-DADOS'!$C$64</definedName>
    <definedName name="OUTROS_BENEFICIOS_3">'INSERÇÃO-DE-DADOS'!$F$65</definedName>
    <definedName name="OUTROS_BENEFICIOS_3_DESCRICAO">'INSERÇÃO-DE-DADOS'!$C$65</definedName>
    <definedName name="OUTROS_INSUMOS">'INSERÇÃO-DE-DADOS'!$F$100</definedName>
    <definedName name="OUTROS_INSUMOS_DESCRICAO">'INSERÇÃO-DE-DADOS'!$C$100</definedName>
    <definedName name="OUTROS_REMUNERACAO_1">'INSERÇÃO-DE-DADOS'!$F$53</definedName>
    <definedName name="OUTROS_REMUNERACAO_1_DESCRICAO">'INSERÇÃO-DE-DADOS'!$C$53</definedName>
    <definedName name="OUTROS_REMUNERACAO_2">'INSERÇÃO-DE-DADOS'!$F$54</definedName>
    <definedName name="OUTROS_REMUNERACAO_2_DESCRICAO">'INSERÇÃO-DE-DADOS'!$C$54:$E$54</definedName>
    <definedName name="OUTROS_REMUNERACAO_3">'INSERÇÃO-DE-DADOS'!$F$55</definedName>
    <definedName name="OUTROS_REMUNERACAO_3_DESCRICAO">'INSERÇÃO-DE-DADOS'!$C$55:$E$55</definedName>
    <definedName name="PERC_ADIC_FERIAS">'ENCARGOS-SOCIAIS-E-TRABALHISTAS'!$E$6</definedName>
    <definedName name="PERC_ADIC_INS">'INSERÇÃO-DE-DADOS'!$F$52</definedName>
    <definedName name="PERC_ADIC_NOT">'INSERÇÃO-DE-DADOS'!$F$51</definedName>
    <definedName name="PERC_ADIC_PERIC">'INSERÇÃO-DE-DADOS'!$F$50</definedName>
    <definedName name="PERC_AVISO_PREVIO_IND">'ENCARGOS-SOCIAIS-E-TRABALHISTAS'!$E$20</definedName>
    <definedName name="PERC_AVISO_PREVIO_TRAB">'ENCARGOS-SOCIAIS-E-TRABALHISTAS'!$E$21</definedName>
    <definedName name="PERC_COFINS">'INSERÇÃO-DE-DADOS'!$F$107</definedName>
    <definedName name="PERC_CONTRIB_SOCIAL">'DADOS-ESTATISTICOS'!#REF!</definedName>
    <definedName name="PERC_CUSTOS_INDIRETOS">'INSERÇÃO-DE-DADOS'!$F$104</definedName>
    <definedName name="PERC_DEC_TERC">'ENCARGOS-SOCIAIS-E-TRABALHISTAS'!$E$5</definedName>
    <definedName name="PERC_DESC_TRANSP_REMUNERACAO">'DADOS-ESTATISTICOS'!$F$14</definedName>
    <definedName name="PERC_EMPREG_AFAST_TRAB">'DADOS-ESTATISTICOS'!$F$31</definedName>
    <definedName name="PERC_EMPREG_AVISO_PREVIO_IND">'DADOS-ESTATISTICOS'!$F$19</definedName>
    <definedName name="PERC_EMPREG_AVISO_PREVIO_TRAB">'DADOS-ESTATISTICOS'!$F$21</definedName>
    <definedName name="PERC_EMPREG_DEMIT_SEM_JUSTA_CAUSA_TOTAL_DESLIG">'DADOS-ESTATISTICOS'!$F$18</definedName>
    <definedName name="PERC_FGTS">'ENCARGOS-SOCIAIS-E-TRABALHISTAS'!$E$16</definedName>
    <definedName name="PERC_FGTS_AVISO_PREV_IND">'ENCARGOS-SOCIAIS-E-TRABALHISTAS'!#REF!</definedName>
    <definedName name="PERC_GPS_FGTS">'ENCARGOS-SOCIAIS-E-TRABALHISTAS'!$E$17</definedName>
    <definedName name="PERC_GPS_FGTS_AVISO_PREVIO_TRAB">'ENCARGOS-SOCIAIS-E-TRABALHISTAS'!#REF!</definedName>
    <definedName name="PERC_HORA_EXTRA">'INSERÇÃO-DE-DADOS'!$F$74</definedName>
    <definedName name="PERC_INCRA">'ENCARGOS-SOCIAIS-E-TRABALHISTAS'!$E$15</definedName>
    <definedName name="PERC_INSS">'ENCARGOS-SOCIAIS-E-TRABALHISTAS'!$E$9</definedName>
    <definedName name="PERC_ISS">'INSERÇÃO-DE-DADOS'!$F$108</definedName>
    <definedName name="PERC_LUCRO">'INSERÇÃO-DE-DADOS'!$F$105</definedName>
    <definedName name="PERC_MULTA_FGTS">'DADOS-ESTATISTICOS'!$F$20</definedName>
    <definedName name="PERC_MULTA_FGTS_AV_PREV_IND">'ENCARGOS-SOCIAIS-E-TRABALHISTAS'!#REF!</definedName>
    <definedName name="PERC_MULTA_FGTS_AV_PREV_TRAB">'ENCARGOS-SOCIAIS-E-TRABALHISTAS'!$E$22</definedName>
    <definedName name="PERC_NASCIDOS_VIVOS_POPUL_FEM">'DADOS-ESTATISTICOS'!$F$29</definedName>
    <definedName name="PERC_PARTIC_FEM_VIGIL">'DADOS-ESTATISTICOS'!$F$34</definedName>
    <definedName name="PERC_PARTIC_MASC_VIGIL">'DADOS-ESTATISTICOS'!$F$30</definedName>
    <definedName name="PERC_PIS">'INSERÇÃO-DE-DADOS'!$F$106</definedName>
    <definedName name="PERC_RAT">'ENCARGOS-SOCIAIS-E-TRABALHISTAS'!$E$11</definedName>
    <definedName name="PERC_SAL_EDUCACAO">'ENCARGOS-SOCIAIS-E-TRABALHISTAS'!$E$10</definedName>
    <definedName name="PERC_SEBRAE">'ENCARGOS-SOCIAIS-E-TRABALHISTAS'!$E$14</definedName>
    <definedName name="PERC_SENAC">'ENCARGOS-SOCIAIS-E-TRABALHISTAS'!$E$13</definedName>
    <definedName name="PERC_SESC">'ENCARGOS-SOCIAIS-E-TRABALHISTAS'!$E$12</definedName>
    <definedName name="PERC_SUBSTITUTO_ACID_TRAB">'ENCARGOS-SOCIAIS-E-TRABALHISTAS'!$E$29</definedName>
    <definedName name="PERC_SUBSTITUTO_AFAST_MATERN">'ENCARGOS-SOCIAIS-E-TRABALHISTAS'!$E$30</definedName>
    <definedName name="PERC_SUBSTITUTO_AUSENCIAS_LEGAIS">'ENCARGOS-SOCIAIS-E-TRABALHISTAS'!$E$27</definedName>
    <definedName name="PERC_SUBSTITUTO_FERIAS">'ENCARGOS-SOCIAIS-E-TRABALHISTAS'!$E$26</definedName>
    <definedName name="PERC_SUBSTITUTO_LICENCA_PATERNIDADE">'ENCARGOS-SOCIAIS-E-TRABALHISTAS'!$E$28</definedName>
    <definedName name="PERC_SUBSTITUTO_OUTRAS_AUSENCIAS">'INSERÇÃO-DE-DADOS'!$F$70</definedName>
    <definedName name="PERC_TRIBUTOS" localSheetId="3">'ASSISTENTE ADMINISTRATIVO'!$E$90</definedName>
    <definedName name="PERC_TRIBUTOS" localSheetId="4">CARREGADOR!$E$90</definedName>
    <definedName name="PERC_TRIBUTOS" localSheetId="5">COPEIRO!$E$90</definedName>
    <definedName name="PERC_TRIBUTOS" localSheetId="6">'ENCARREGADO GERAL'!$E$90</definedName>
    <definedName name="PERC_TRIBUTOS" localSheetId="7">GARÇOM!$E$90</definedName>
    <definedName name="PERC_TRIBUTOS" localSheetId="8">'OPERADOR DE MÁQ. REPROGRÁFICA'!$E$90</definedName>
    <definedName name="PERC_TRIBUTOS" localSheetId="9">RECEPCIONISTA!$E$90</definedName>
    <definedName name="POSTO_12X36_DIU">'[1]INSERÇÃO-DE-DADOS'!$C$19</definedName>
    <definedName name="POSTO_12X36_NOT">'[1]INSERÇÃO-DE-DADOS'!$C$20</definedName>
    <definedName name="POSTO_44H">'[1]INSERÇÃO-DE-DADOS'!$C$21</definedName>
    <definedName name="QTDE_DE_POSTOS_12X36_DIU">'[1]INSERÇÃO-DE-DADOS'!$F$19</definedName>
    <definedName name="QTDE_DE_POSTOS_12X36_NOT">'[1]INSERÇÃO-DE-DADOS'!$F$20</definedName>
    <definedName name="QTDE_DE_POSTOS_44H">'[1]INSERÇÃO-DE-DADOS'!$F$21</definedName>
    <definedName name="QTDE_POSTOS" localSheetId="3">'INSERÇÃO-DE-DADOS'!$F$19</definedName>
    <definedName name="QTDE_POSTOS" localSheetId="4">'INSERÇÃO-DE-DADOS'!$F$19</definedName>
    <definedName name="QTDE_POSTOS" localSheetId="5">'INSERÇÃO-DE-DADOS'!$F$19</definedName>
    <definedName name="QTDE_POSTOS" localSheetId="6">'INSERÇÃO-DE-DADOS'!$F$19</definedName>
    <definedName name="QTDE_POSTOS" localSheetId="7">'INSERÇÃO-DE-DADOS'!$F$19</definedName>
    <definedName name="QTDE_POSTOS" localSheetId="8">'INSERÇÃO-DE-DADOS'!$F$19</definedName>
    <definedName name="QTDE_POSTOS" localSheetId="9">'INSERÇÃO-DE-DADOS'!$F$19</definedName>
    <definedName name="RAMO">'INSERÇÃO-DE-DADOS'!$B$1</definedName>
    <definedName name="SAL_MINIMO">'INSERÇÃO-DE-DADOS'!$F$38</definedName>
    <definedName name="SALARIO_BASE">'INSERÇÃO-DE-DADOS'!$F$43</definedName>
    <definedName name="SUBMOD_2_1_DEC_TERC_ADIC_FERIAS" localSheetId="3">'ASSISTENTE ADMINISTRATIVO'!$F$36</definedName>
    <definedName name="SUBMOD_2_1_DEC_TERC_ADIC_FERIAS" localSheetId="4">CARREGADOR!$F$36</definedName>
    <definedName name="SUBMOD_2_1_DEC_TERC_ADIC_FERIAS" localSheetId="5">COPEIRO!$F$36</definedName>
    <definedName name="SUBMOD_2_1_DEC_TERC_ADIC_FERIAS" localSheetId="6">'ENCARREGADO GERAL'!$F$36</definedName>
    <definedName name="SUBMOD_2_1_DEC_TERC_ADIC_FERIAS" localSheetId="7">GARÇOM!$F$36</definedName>
    <definedName name="SUBMOD_2_1_DEC_TERC_ADIC_FERIAS" localSheetId="8">'OPERADOR DE MÁQ. REPROGRÁFICA'!$F$36</definedName>
    <definedName name="SUBMOD_2_1_DEC_TERC_ADIC_FERIAS" localSheetId="9">RECEPCIONISTA!$F$36</definedName>
    <definedName name="SUBMOD_2_2_GPS_FGTS" localSheetId="3">'ASSISTENTE ADMINISTRATIVO'!$F$47</definedName>
    <definedName name="SUBMOD_2_2_GPS_FGTS" localSheetId="4">CARREGADOR!$F$47</definedName>
    <definedName name="SUBMOD_2_2_GPS_FGTS" localSheetId="5">COPEIRO!$F$47</definedName>
    <definedName name="SUBMOD_2_2_GPS_FGTS" localSheetId="6">'ENCARREGADO GERAL'!$F$47</definedName>
    <definedName name="SUBMOD_2_2_GPS_FGTS" localSheetId="7">GARÇOM!$F$47</definedName>
    <definedName name="SUBMOD_2_2_GPS_FGTS" localSheetId="8">'OPERADOR DE MÁQ. REPROGRÁFICA'!$F$47</definedName>
    <definedName name="SUBMOD_2_2_GPS_FGTS" localSheetId="9">RECEPCIONISTA!$F$47</definedName>
    <definedName name="SUBMOD_2_3_BENEFICIOS" localSheetId="3">'ASSISTENTE ADMINISTRATIVO'!$F$55</definedName>
    <definedName name="SUBMOD_2_3_BENEFICIOS" localSheetId="4">CARREGADOR!$F$55</definedName>
    <definedName name="SUBMOD_2_3_BENEFICIOS" localSheetId="5">COPEIRO!$F$55</definedName>
    <definedName name="SUBMOD_2_3_BENEFICIOS" localSheetId="6">'ENCARREGADO GERAL'!$F$55</definedName>
    <definedName name="SUBMOD_2_3_BENEFICIOS" localSheetId="7">GARÇOM!$F$55</definedName>
    <definedName name="SUBMOD_2_3_BENEFICIOS" localSheetId="8">'OPERADOR DE MÁQ. REPROGRÁFICA'!$F$55</definedName>
    <definedName name="SUBMOD_2_3_BENEFICIOS" localSheetId="9">RECEPCIONISTA!$F$55</definedName>
    <definedName name="TEMPO_INTERVALO_REFEICAO">'INSERÇÃO-DE-DADOS'!$F$75</definedName>
    <definedName name="TIPO_DE_SERVICO">'INSERÇÃO-DE-DADOS'!$C$19</definedName>
    <definedName name="TRANSPORTE_POR_DIA">'INSERÇÃO-DE-DADOS'!$F$60</definedName>
    <definedName name="UG">'INSERÇÃO-DE-DADOS'!$B$2</definedName>
    <definedName name="UNIFORMES">'INSERÇÃO-DE-DADOS'!$F$79</definedName>
    <definedName name="VALOR_TOTAL_EMPREGADO" localSheetId="3">'ASSISTENTE ADMINISTRATIVO'!$F$103</definedName>
    <definedName name="VALOR_TOTAL_EMPREGADO" localSheetId="4">CARREGADOR!$F$103</definedName>
    <definedName name="VALOR_TOTAL_EMPREGADO" localSheetId="5">COPEIRO!$F$103</definedName>
    <definedName name="VALOR_TOTAL_EMPREGADO" localSheetId="6">'ENCARREGADO GERAL'!$F$103</definedName>
    <definedName name="VALOR_TOTAL_EMPREGADO" localSheetId="7">GARÇOM!$F$103</definedName>
    <definedName name="VALOR_TOTAL_EMPREGADO" localSheetId="8">'OPERADOR DE MÁQ. REPROGRÁFICA'!$F$103</definedName>
    <definedName name="VALOR_TOTAL_EMPREGADO" localSheetId="9">RECEPCIONISTA!$F$103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7" i="11" l="1"/>
  <c r="H14" i="12"/>
  <c r="F13" i="12"/>
  <c r="F7" i="12"/>
  <c r="F8" i="12"/>
  <c r="F9" i="12"/>
  <c r="F10" i="12"/>
  <c r="F11" i="12"/>
  <c r="F12" i="12"/>
  <c r="F6" i="12"/>
  <c r="E7" i="12"/>
  <c r="E8" i="12"/>
  <c r="E9" i="12"/>
  <c r="E10" i="12"/>
  <c r="E11" i="12"/>
  <c r="E12" i="12"/>
  <c r="E6" i="12"/>
  <c r="C7" i="12"/>
  <c r="C8" i="12"/>
  <c r="C9" i="12"/>
  <c r="C10" i="12"/>
  <c r="C11" i="12"/>
  <c r="C12" i="12"/>
  <c r="D7" i="12"/>
  <c r="D8" i="12"/>
  <c r="D9" i="12"/>
  <c r="D10" i="12"/>
  <c r="D11" i="12"/>
  <c r="D12" i="12"/>
  <c r="C6" i="12"/>
  <c r="D6" i="12"/>
  <c r="G2" i="12"/>
  <c r="B2" i="12"/>
  <c r="B1" i="12"/>
  <c r="E13" i="12" l="1"/>
  <c r="F80" i="10" l="1"/>
  <c r="F55" i="10"/>
  <c r="F50" i="10"/>
  <c r="F22" i="10"/>
  <c r="D15" i="10"/>
  <c r="D14" i="10"/>
  <c r="F12" i="10"/>
  <c r="F80" i="9"/>
  <c r="F50" i="9"/>
  <c r="F22" i="9"/>
  <c r="D15" i="9"/>
  <c r="D14" i="9"/>
  <c r="F12" i="9"/>
  <c r="F12" i="8"/>
  <c r="F80" i="8"/>
  <c r="F50" i="8"/>
  <c r="F22" i="8"/>
  <c r="D15" i="8"/>
  <c r="D14" i="8"/>
  <c r="F50" i="7"/>
  <c r="F82" i="7"/>
  <c r="F80" i="7"/>
  <c r="F22" i="7"/>
  <c r="F12" i="7"/>
  <c r="D15" i="7"/>
  <c r="D14" i="7"/>
  <c r="F84" i="6"/>
  <c r="F81" i="6"/>
  <c r="F80" i="6"/>
  <c r="F50" i="6"/>
  <c r="F22" i="6"/>
  <c r="D14" i="6"/>
  <c r="D15" i="6"/>
  <c r="F12" i="6"/>
  <c r="F12" i="5"/>
  <c r="D14" i="5"/>
  <c r="F80" i="5"/>
  <c r="F50" i="5"/>
  <c r="F22" i="5"/>
  <c r="D15" i="5"/>
  <c r="E93" i="11" l="1"/>
  <c r="E90" i="11" s="1"/>
  <c r="E92" i="11"/>
  <c r="E91" i="11"/>
  <c r="E89" i="11"/>
  <c r="E88" i="11"/>
  <c r="F83" i="11"/>
  <c r="C83" i="11"/>
  <c r="F82" i="11"/>
  <c r="F81" i="11"/>
  <c r="F80" i="11"/>
  <c r="F84" i="11" s="1"/>
  <c r="F101" i="11" s="1"/>
  <c r="F75" i="11"/>
  <c r="F76" i="11" s="1"/>
  <c r="E71" i="11"/>
  <c r="C71" i="11"/>
  <c r="E70" i="11"/>
  <c r="E69" i="11"/>
  <c r="E68" i="11"/>
  <c r="E67" i="11"/>
  <c r="E66" i="11"/>
  <c r="E60" i="11"/>
  <c r="E59" i="11"/>
  <c r="E58" i="11"/>
  <c r="F54" i="11"/>
  <c r="C54" i="11"/>
  <c r="F53" i="11"/>
  <c r="C53" i="11"/>
  <c r="F52" i="11"/>
  <c r="C52" i="11"/>
  <c r="F51" i="11"/>
  <c r="E46" i="11"/>
  <c r="E45" i="11"/>
  <c r="E44" i="11"/>
  <c r="E43" i="11"/>
  <c r="E42" i="11"/>
  <c r="E41" i="11"/>
  <c r="E40" i="11"/>
  <c r="E39" i="11"/>
  <c r="E35" i="11"/>
  <c r="E34" i="11"/>
  <c r="F29" i="11"/>
  <c r="C29" i="11"/>
  <c r="F28" i="11"/>
  <c r="C28" i="11"/>
  <c r="F27" i="11"/>
  <c r="C27" i="11"/>
  <c r="F26" i="11"/>
  <c r="F23" i="11"/>
  <c r="F25" i="11" s="1"/>
  <c r="F22" i="11"/>
  <c r="F19" i="11"/>
  <c r="F17" i="11"/>
  <c r="D16" i="11"/>
  <c r="D15" i="11"/>
  <c r="E14" i="11"/>
  <c r="F12" i="11"/>
  <c r="F11" i="11"/>
  <c r="F10" i="11"/>
  <c r="D9" i="11"/>
  <c r="F8" i="11"/>
  <c r="F6" i="11"/>
  <c r="D6" i="11"/>
  <c r="D5" i="11"/>
  <c r="F2" i="11"/>
  <c r="B2" i="11"/>
  <c r="B1" i="11"/>
  <c r="E93" i="10"/>
  <c r="E92" i="10"/>
  <c r="E91" i="10"/>
  <c r="E90" i="10"/>
  <c r="E89" i="10"/>
  <c r="E88" i="10"/>
  <c r="F83" i="10"/>
  <c r="C83" i="10"/>
  <c r="F82" i="10"/>
  <c r="F81" i="10"/>
  <c r="F84" i="10"/>
  <c r="F101" i="10" s="1"/>
  <c r="F75" i="10"/>
  <c r="F76" i="10" s="1"/>
  <c r="E71" i="10"/>
  <c r="C71" i="10"/>
  <c r="E70" i="10"/>
  <c r="E69" i="10"/>
  <c r="E68" i="10"/>
  <c r="E67" i="10"/>
  <c r="E66" i="10"/>
  <c r="E60" i="10"/>
  <c r="E59" i="10"/>
  <c r="E58" i="10"/>
  <c r="F54" i="10"/>
  <c r="C54" i="10"/>
  <c r="F53" i="10"/>
  <c r="C53" i="10"/>
  <c r="F52" i="10"/>
  <c r="C52" i="10"/>
  <c r="F51" i="10"/>
  <c r="E46" i="10"/>
  <c r="E45" i="10"/>
  <c r="E44" i="10"/>
  <c r="E43" i="10"/>
  <c r="E42" i="10"/>
  <c r="E41" i="10"/>
  <c r="E40" i="10"/>
  <c r="E39" i="10"/>
  <c r="E35" i="10"/>
  <c r="E34" i="10"/>
  <c r="F29" i="10"/>
  <c r="C29" i="10"/>
  <c r="F28" i="10"/>
  <c r="C28" i="10"/>
  <c r="F27" i="10"/>
  <c r="C27" i="10"/>
  <c r="F26" i="10"/>
  <c r="F23" i="10"/>
  <c r="F25" i="10" s="1"/>
  <c r="F24" i="10"/>
  <c r="F19" i="10"/>
  <c r="F17" i="10"/>
  <c r="D16" i="10"/>
  <c r="F11" i="10"/>
  <c r="F10" i="10"/>
  <c r="D9" i="10"/>
  <c r="F8" i="10"/>
  <c r="F6" i="10"/>
  <c r="D6" i="10"/>
  <c r="D5" i="10"/>
  <c r="F2" i="10"/>
  <c r="B2" i="10"/>
  <c r="B1" i="10"/>
  <c r="E93" i="9"/>
  <c r="E92" i="9"/>
  <c r="E91" i="9"/>
  <c r="E90" i="9"/>
  <c r="E89" i="9"/>
  <c r="E88" i="9"/>
  <c r="F83" i="9"/>
  <c r="C83" i="9"/>
  <c r="F82" i="9"/>
  <c r="F81" i="9"/>
  <c r="F84" i="9"/>
  <c r="F101" i="9" s="1"/>
  <c r="F75" i="9"/>
  <c r="F76" i="9" s="1"/>
  <c r="E71" i="9"/>
  <c r="C71" i="9"/>
  <c r="E70" i="9"/>
  <c r="E69" i="9"/>
  <c r="E68" i="9"/>
  <c r="E67" i="9"/>
  <c r="E66" i="9"/>
  <c r="E60" i="9"/>
  <c r="E59" i="9"/>
  <c r="E58" i="9"/>
  <c r="F54" i="9"/>
  <c r="C54" i="9"/>
  <c r="F53" i="9"/>
  <c r="C53" i="9"/>
  <c r="F52" i="9"/>
  <c r="C52" i="9"/>
  <c r="F51" i="9"/>
  <c r="F55" i="9"/>
  <c r="E46" i="9"/>
  <c r="E45" i="9"/>
  <c r="E44" i="9"/>
  <c r="E43" i="9"/>
  <c r="E42" i="9"/>
  <c r="E41" i="9"/>
  <c r="E40" i="9"/>
  <c r="E39" i="9"/>
  <c r="E35" i="9"/>
  <c r="E34" i="9"/>
  <c r="F29" i="9"/>
  <c r="C29" i="9"/>
  <c r="F28" i="9"/>
  <c r="C28" i="9"/>
  <c r="F27" i="9"/>
  <c r="C27" i="9"/>
  <c r="F26" i="9"/>
  <c r="F23" i="9"/>
  <c r="F25" i="9" s="1"/>
  <c r="F19" i="9"/>
  <c r="F17" i="9"/>
  <c r="D16" i="9"/>
  <c r="F11" i="9"/>
  <c r="F10" i="9"/>
  <c r="D9" i="9"/>
  <c r="F8" i="9"/>
  <c r="F6" i="9"/>
  <c r="D6" i="9"/>
  <c r="D5" i="9"/>
  <c r="F2" i="9"/>
  <c r="B2" i="9"/>
  <c r="B1" i="9"/>
  <c r="E93" i="8"/>
  <c r="E92" i="8"/>
  <c r="E91" i="8"/>
  <c r="E90" i="8"/>
  <c r="E89" i="8"/>
  <c r="E88" i="8"/>
  <c r="F83" i="8"/>
  <c r="C83" i="8"/>
  <c r="F82" i="8"/>
  <c r="F81" i="8"/>
  <c r="F84" i="8"/>
  <c r="F101" i="8" s="1"/>
  <c r="F75" i="8"/>
  <c r="F76" i="8" s="1"/>
  <c r="E71" i="8"/>
  <c r="C71" i="8"/>
  <c r="E70" i="8"/>
  <c r="E69" i="8"/>
  <c r="E68" i="8"/>
  <c r="E67" i="8"/>
  <c r="E66" i="8"/>
  <c r="E60" i="8"/>
  <c r="E59" i="8"/>
  <c r="E58" i="8"/>
  <c r="F54" i="8"/>
  <c r="C54" i="8"/>
  <c r="F53" i="8"/>
  <c r="C53" i="8"/>
  <c r="F52" i="8"/>
  <c r="C52" i="8"/>
  <c r="F51" i="8"/>
  <c r="E46" i="8"/>
  <c r="E45" i="8"/>
  <c r="E44" i="8"/>
  <c r="E43" i="8"/>
  <c r="E42" i="8"/>
  <c r="E41" i="8"/>
  <c r="E40" i="8"/>
  <c r="E39" i="8"/>
  <c r="E35" i="8"/>
  <c r="E34" i="8"/>
  <c r="F29" i="8"/>
  <c r="C29" i="8"/>
  <c r="F28" i="8"/>
  <c r="C28" i="8"/>
  <c r="F27" i="8"/>
  <c r="C27" i="8"/>
  <c r="F26" i="8"/>
  <c r="F23" i="8"/>
  <c r="F25" i="8"/>
  <c r="F19" i="8"/>
  <c r="F17" i="8"/>
  <c r="D16" i="8"/>
  <c r="F11" i="8"/>
  <c r="F10" i="8"/>
  <c r="D9" i="8"/>
  <c r="F8" i="8"/>
  <c r="F6" i="8"/>
  <c r="D6" i="8"/>
  <c r="D5" i="8"/>
  <c r="F2" i="8"/>
  <c r="B2" i="8"/>
  <c r="B1" i="8"/>
  <c r="E93" i="7"/>
  <c r="E92" i="7"/>
  <c r="E91" i="7"/>
  <c r="E90" i="7" s="1"/>
  <c r="E89" i="7"/>
  <c r="E88" i="7"/>
  <c r="F83" i="7"/>
  <c r="C83" i="7"/>
  <c r="F81" i="7"/>
  <c r="F84" i="7"/>
  <c r="F101" i="7" s="1"/>
  <c r="F75" i="7"/>
  <c r="F76" i="7" s="1"/>
  <c r="E71" i="7"/>
  <c r="C71" i="7"/>
  <c r="E70" i="7"/>
  <c r="E69" i="7"/>
  <c r="E68" i="7"/>
  <c r="E67" i="7"/>
  <c r="E66" i="7"/>
  <c r="E60" i="7"/>
  <c r="E59" i="7"/>
  <c r="E58" i="7"/>
  <c r="F54" i="7"/>
  <c r="C54" i="7"/>
  <c r="F53" i="7"/>
  <c r="C53" i="7"/>
  <c r="F52" i="7"/>
  <c r="C52" i="7"/>
  <c r="F51" i="7"/>
  <c r="E46" i="7"/>
  <c r="E45" i="7"/>
  <c r="E44" i="7"/>
  <c r="E43" i="7"/>
  <c r="E42" i="7"/>
  <c r="E41" i="7"/>
  <c r="E40" i="7"/>
  <c r="E39" i="7"/>
  <c r="E35" i="7"/>
  <c r="E34" i="7"/>
  <c r="F29" i="7"/>
  <c r="C29" i="7"/>
  <c r="F28" i="7"/>
  <c r="C28" i="7"/>
  <c r="F27" i="7"/>
  <c r="C27" i="7"/>
  <c r="F26" i="7"/>
  <c r="F23" i="7"/>
  <c r="F25" i="7"/>
  <c r="F19" i="7"/>
  <c r="F17" i="7"/>
  <c r="D16" i="7"/>
  <c r="F11" i="7"/>
  <c r="F10" i="7"/>
  <c r="D9" i="7"/>
  <c r="F8" i="7"/>
  <c r="F6" i="7"/>
  <c r="D6" i="7"/>
  <c r="D5" i="7"/>
  <c r="F2" i="7"/>
  <c r="B2" i="7"/>
  <c r="B1" i="7"/>
  <c r="E93" i="6"/>
  <c r="E92" i="6"/>
  <c r="E91" i="6"/>
  <c r="E90" i="6"/>
  <c r="E89" i="6"/>
  <c r="E88" i="6"/>
  <c r="F83" i="6"/>
  <c r="C83" i="6"/>
  <c r="F82" i="6"/>
  <c r="F101" i="6"/>
  <c r="F75" i="6"/>
  <c r="F76" i="6" s="1"/>
  <c r="E71" i="6"/>
  <c r="C71" i="6"/>
  <c r="E70" i="6"/>
  <c r="E69" i="6"/>
  <c r="E68" i="6"/>
  <c r="E67" i="6"/>
  <c r="E66" i="6"/>
  <c r="E60" i="6"/>
  <c r="E59" i="6"/>
  <c r="E58" i="6"/>
  <c r="F54" i="6"/>
  <c r="C54" i="6"/>
  <c r="F53" i="6"/>
  <c r="C53" i="6"/>
  <c r="F52" i="6"/>
  <c r="C52" i="6"/>
  <c r="F51" i="6"/>
  <c r="E46" i="6"/>
  <c r="E45" i="6"/>
  <c r="E44" i="6"/>
  <c r="E43" i="6"/>
  <c r="E42" i="6"/>
  <c r="E41" i="6"/>
  <c r="E40" i="6"/>
  <c r="E39" i="6"/>
  <c r="E35" i="6"/>
  <c r="E34" i="6"/>
  <c r="F29" i="6"/>
  <c r="C29" i="6"/>
  <c r="F28" i="6"/>
  <c r="C28" i="6"/>
  <c r="F27" i="6"/>
  <c r="C27" i="6"/>
  <c r="F26" i="6"/>
  <c r="F23" i="6"/>
  <c r="F25" i="6"/>
  <c r="F19" i="6"/>
  <c r="F17" i="6"/>
  <c r="D16" i="6"/>
  <c r="F11" i="6"/>
  <c r="F10" i="6"/>
  <c r="D9" i="6"/>
  <c r="F8" i="6"/>
  <c r="F6" i="6"/>
  <c r="D6" i="6"/>
  <c r="D5" i="6"/>
  <c r="F2" i="6"/>
  <c r="B2" i="6"/>
  <c r="B1" i="6"/>
  <c r="E93" i="5"/>
  <c r="E92" i="5"/>
  <c r="E91" i="5"/>
  <c r="E90" i="5" s="1"/>
  <c r="E89" i="5"/>
  <c r="E88" i="5"/>
  <c r="F83" i="5"/>
  <c r="C83" i="5"/>
  <c r="F82" i="5"/>
  <c r="F81" i="5"/>
  <c r="F84" i="5"/>
  <c r="F101" i="5" s="1"/>
  <c r="F75" i="5"/>
  <c r="F76" i="5" s="1"/>
  <c r="E71" i="5"/>
  <c r="C71" i="5"/>
  <c r="E70" i="5"/>
  <c r="E69" i="5"/>
  <c r="E68" i="5"/>
  <c r="E67" i="5"/>
  <c r="E66" i="5"/>
  <c r="E60" i="5"/>
  <c r="E59" i="5"/>
  <c r="E58" i="5"/>
  <c r="F54" i="5"/>
  <c r="C54" i="5"/>
  <c r="F53" i="5"/>
  <c r="C53" i="5"/>
  <c r="F52" i="5"/>
  <c r="C52" i="5"/>
  <c r="F51" i="5"/>
  <c r="E46" i="5"/>
  <c r="E45" i="5"/>
  <c r="E44" i="5"/>
  <c r="E43" i="5"/>
  <c r="E42" i="5"/>
  <c r="E41" i="5"/>
  <c r="E40" i="5"/>
  <c r="E39" i="5"/>
  <c r="E35" i="5"/>
  <c r="E34" i="5"/>
  <c r="F29" i="5"/>
  <c r="C29" i="5"/>
  <c r="F28" i="5"/>
  <c r="C28" i="5"/>
  <c r="F27" i="5"/>
  <c r="C27" i="5"/>
  <c r="F26" i="5"/>
  <c r="F23" i="5"/>
  <c r="F25" i="5"/>
  <c r="F19" i="5"/>
  <c r="F17" i="5"/>
  <c r="D16" i="5"/>
  <c r="F11" i="5"/>
  <c r="F10" i="5"/>
  <c r="D9" i="5"/>
  <c r="F8" i="5"/>
  <c r="F6" i="5"/>
  <c r="D6" i="5"/>
  <c r="D5" i="5"/>
  <c r="F2" i="5"/>
  <c r="B2" i="5"/>
  <c r="B1" i="5"/>
  <c r="E31" i="3"/>
  <c r="C31" i="3"/>
  <c r="E29" i="3"/>
  <c r="E28" i="3"/>
  <c r="E27" i="3"/>
  <c r="E26" i="3"/>
  <c r="E22" i="3"/>
  <c r="E21" i="3"/>
  <c r="E20" i="3"/>
  <c r="E17" i="3"/>
  <c r="E30" i="3" s="1"/>
  <c r="E6" i="3"/>
  <c r="E5" i="3"/>
  <c r="F39" i="2"/>
  <c r="F38" i="2"/>
  <c r="F31" i="2"/>
  <c r="E108" i="1"/>
  <c r="E107" i="1"/>
  <c r="E106" i="1"/>
  <c r="F26" i="1"/>
  <c r="E26" i="1"/>
  <c r="F24" i="11" l="1"/>
  <c r="F50" i="11"/>
  <c r="F55" i="11" s="1"/>
  <c r="F30" i="11"/>
  <c r="F30" i="10"/>
  <c r="F24" i="9"/>
  <c r="F30" i="9" s="1"/>
  <c r="F55" i="8"/>
  <c r="F24" i="8"/>
  <c r="F30" i="8" s="1"/>
  <c r="F55" i="7"/>
  <c r="F24" i="7"/>
  <c r="F30" i="7" s="1"/>
  <c r="F55" i="6"/>
  <c r="F24" i="6"/>
  <c r="F30" i="6" s="1"/>
  <c r="F55" i="5"/>
  <c r="F24" i="5"/>
  <c r="F30" i="5" s="1"/>
  <c r="F39" i="7" l="1"/>
  <c r="F34" i="5"/>
  <c r="F46" i="8"/>
  <c r="F35" i="8"/>
  <c r="F34" i="8"/>
  <c r="F36" i="8" s="1"/>
  <c r="F39" i="8" s="1"/>
  <c r="F34" i="11"/>
  <c r="F36" i="11" s="1"/>
  <c r="F35" i="11"/>
  <c r="F97" i="11"/>
  <c r="F97" i="10"/>
  <c r="F34" i="10"/>
  <c r="F35" i="10"/>
  <c r="F35" i="9"/>
  <c r="F97" i="9"/>
  <c r="F34" i="9"/>
  <c r="F97" i="8"/>
  <c r="F35" i="7"/>
  <c r="F97" i="7"/>
  <c r="F34" i="7"/>
  <c r="F36" i="7" s="1"/>
  <c r="F35" i="6"/>
  <c r="F97" i="6"/>
  <c r="F34" i="6"/>
  <c r="F35" i="5"/>
  <c r="F97" i="5"/>
  <c r="F42" i="11" l="1"/>
  <c r="F45" i="11"/>
  <c r="F60" i="11"/>
  <c r="F39" i="11"/>
  <c r="F36" i="5"/>
  <c r="F36" i="9"/>
  <c r="F60" i="9" s="1"/>
  <c r="F36" i="6"/>
  <c r="F60" i="5"/>
  <c r="F41" i="5"/>
  <c r="F46" i="11"/>
  <c r="F58" i="11" s="1"/>
  <c r="F41" i="11"/>
  <c r="F44" i="11"/>
  <c r="F40" i="11"/>
  <c r="F43" i="11"/>
  <c r="F36" i="10"/>
  <c r="F39" i="10" s="1"/>
  <c r="F45" i="9"/>
  <c r="F42" i="9"/>
  <c r="F43" i="8"/>
  <c r="F58" i="8"/>
  <c r="F41" i="8"/>
  <c r="F44" i="8"/>
  <c r="F42" i="8"/>
  <c r="F45" i="8"/>
  <c r="F41" i="7"/>
  <c r="F44" i="7"/>
  <c r="F44" i="6"/>
  <c r="F45" i="5"/>
  <c r="F43" i="5"/>
  <c r="F44" i="9" l="1"/>
  <c r="F42" i="6"/>
  <c r="F40" i="6"/>
  <c r="F39" i="6"/>
  <c r="F41" i="9"/>
  <c r="F39" i="9"/>
  <c r="F46" i="9"/>
  <c r="F58" i="9" s="1"/>
  <c r="F39" i="5"/>
  <c r="F46" i="5"/>
  <c r="F58" i="5" s="1"/>
  <c r="F40" i="5"/>
  <c r="F44" i="5"/>
  <c r="F47" i="5" s="1"/>
  <c r="F98" i="5" s="1"/>
  <c r="F42" i="5"/>
  <c r="F40" i="9"/>
  <c r="F43" i="9"/>
  <c r="F40" i="8"/>
  <c r="F47" i="8" s="1"/>
  <c r="F60" i="8"/>
  <c r="F40" i="7"/>
  <c r="F60" i="7"/>
  <c r="F45" i="7"/>
  <c r="F43" i="7"/>
  <c r="F46" i="7"/>
  <c r="F58" i="7" s="1"/>
  <c r="F42" i="7"/>
  <c r="F47" i="6"/>
  <c r="F98" i="6" s="1"/>
  <c r="F46" i="6"/>
  <c r="F58" i="6" s="1"/>
  <c r="F43" i="6"/>
  <c r="F45" i="6"/>
  <c r="F60" i="6"/>
  <c r="F41" i="6"/>
  <c r="F98" i="11"/>
  <c r="F59" i="11"/>
  <c r="F61" i="11" s="1"/>
  <c r="F40" i="10"/>
  <c r="F44" i="10"/>
  <c r="F41" i="10"/>
  <c r="F47" i="10" s="1"/>
  <c r="F60" i="10"/>
  <c r="F45" i="10"/>
  <c r="F46" i="10"/>
  <c r="F58" i="10" s="1"/>
  <c r="F42" i="10"/>
  <c r="F43" i="10"/>
  <c r="F47" i="7" l="1"/>
  <c r="F47" i="9"/>
  <c r="F59" i="9" s="1"/>
  <c r="F61" i="9" s="1"/>
  <c r="F98" i="8"/>
  <c r="F59" i="8"/>
  <c r="F61" i="8" s="1"/>
  <c r="F70" i="8" s="1"/>
  <c r="F59" i="5"/>
  <c r="F61" i="5" s="1"/>
  <c r="F99" i="5" s="1"/>
  <c r="F59" i="6"/>
  <c r="F61" i="6" s="1"/>
  <c r="F99" i="11"/>
  <c r="F66" i="11"/>
  <c r="F68" i="11"/>
  <c r="F70" i="11"/>
  <c r="F67" i="11"/>
  <c r="F71" i="11"/>
  <c r="F69" i="11"/>
  <c r="F98" i="9"/>
  <c r="F98" i="7"/>
  <c r="F59" i="7"/>
  <c r="F61" i="7" s="1"/>
  <c r="F99" i="6" l="1"/>
  <c r="F66" i="6"/>
  <c r="F71" i="6"/>
  <c r="F67" i="6"/>
  <c r="F66" i="7"/>
  <c r="F66" i="8"/>
  <c r="F69" i="8"/>
  <c r="F68" i="8"/>
  <c r="F71" i="8"/>
  <c r="F67" i="8"/>
  <c r="F99" i="8"/>
  <c r="F70" i="6"/>
  <c r="F68" i="6"/>
  <c r="F69" i="6"/>
  <c r="F67" i="5"/>
  <c r="F68" i="5"/>
  <c r="F71" i="5"/>
  <c r="F70" i="5"/>
  <c r="F66" i="5"/>
  <c r="F69" i="5"/>
  <c r="F72" i="11"/>
  <c r="F59" i="10"/>
  <c r="F61" i="10" s="1"/>
  <c r="F98" i="10"/>
  <c r="F99" i="9"/>
  <c r="F68" i="9"/>
  <c r="F70" i="9"/>
  <c r="F71" i="9"/>
  <c r="F67" i="9"/>
  <c r="F69" i="9"/>
  <c r="F66" i="9"/>
  <c r="F99" i="7"/>
  <c r="F71" i="7"/>
  <c r="F68" i="7"/>
  <c r="F69" i="7"/>
  <c r="F70" i="7"/>
  <c r="F67" i="7"/>
  <c r="F72" i="6" l="1"/>
  <c r="F88" i="6" s="1"/>
  <c r="F72" i="8"/>
  <c r="F72" i="5"/>
  <c r="F100" i="5" s="1"/>
  <c r="F88" i="5"/>
  <c r="F89" i="5" s="1"/>
  <c r="F92" i="5" s="1"/>
  <c r="F100" i="11"/>
  <c r="F88" i="11"/>
  <c r="F99" i="10"/>
  <c r="F71" i="10"/>
  <c r="F70" i="10"/>
  <c r="F69" i="10"/>
  <c r="F67" i="10"/>
  <c r="F66" i="10"/>
  <c r="F68" i="10"/>
  <c r="F72" i="9"/>
  <c r="F72" i="7"/>
  <c r="F88" i="7" s="1"/>
  <c r="F100" i="6" l="1"/>
  <c r="F72" i="10"/>
  <c r="F100" i="10" s="1"/>
  <c r="F100" i="8"/>
  <c r="F88" i="8"/>
  <c r="F89" i="8" s="1"/>
  <c r="F89" i="6"/>
  <c r="F93" i="5"/>
  <c r="F89" i="11"/>
  <c r="F91" i="5"/>
  <c r="F100" i="9"/>
  <c r="F88" i="9"/>
  <c r="F100" i="7"/>
  <c r="F88" i="10" l="1"/>
  <c r="F89" i="10" s="1"/>
  <c r="F92" i="10" s="1"/>
  <c r="F90" i="5"/>
  <c r="F94" i="5" s="1"/>
  <c r="F102" i="5" s="1"/>
  <c r="F103" i="5" s="1"/>
  <c r="F105" i="5" s="1"/>
  <c r="H7" i="12" s="1"/>
  <c r="F92" i="11"/>
  <c r="F91" i="11"/>
  <c r="F93" i="11"/>
  <c r="F89" i="9"/>
  <c r="F93" i="8"/>
  <c r="F92" i="8"/>
  <c r="F91" i="8"/>
  <c r="F89" i="7"/>
  <c r="F93" i="6"/>
  <c r="F92" i="6"/>
  <c r="F91" i="6"/>
  <c r="F90" i="8" l="1"/>
  <c r="F94" i="8" s="1"/>
  <c r="F102" i="8" s="1"/>
  <c r="F104" i="5"/>
  <c r="G7" i="12" s="1"/>
  <c r="F90" i="6"/>
  <c r="F94" i="6" s="1"/>
  <c r="F102" i="6" s="1"/>
  <c r="F103" i="6" s="1"/>
  <c r="F90" i="11"/>
  <c r="F94" i="11" s="1"/>
  <c r="F102" i="11" s="1"/>
  <c r="F103" i="11" s="1"/>
  <c r="F93" i="10"/>
  <c r="F91" i="10"/>
  <c r="F90" i="10" s="1"/>
  <c r="F94" i="10" s="1"/>
  <c r="F102" i="10" s="1"/>
  <c r="F103" i="10" s="1"/>
  <c r="F105" i="10" s="1"/>
  <c r="H12" i="12" s="1"/>
  <c r="F93" i="9"/>
  <c r="F91" i="9"/>
  <c r="F92" i="9"/>
  <c r="F93" i="7"/>
  <c r="F91" i="7"/>
  <c r="F92" i="7"/>
  <c r="F105" i="11" l="1"/>
  <c r="H6" i="12" s="1"/>
  <c r="F104" i="6"/>
  <c r="G8" i="12" s="1"/>
  <c r="F105" i="6"/>
  <c r="H8" i="12" s="1"/>
  <c r="F104" i="8"/>
  <c r="G10" i="12" s="1"/>
  <c r="F103" i="8"/>
  <c r="F105" i="8" s="1"/>
  <c r="H10" i="12" s="1"/>
  <c r="F104" i="11"/>
  <c r="G6" i="12" s="1"/>
  <c r="F104" i="10"/>
  <c r="G12" i="12" s="1"/>
  <c r="F90" i="9"/>
  <c r="F94" i="9" s="1"/>
  <c r="F102" i="9" s="1"/>
  <c r="F103" i="9" s="1"/>
  <c r="F105" i="9" s="1"/>
  <c r="H11" i="12" s="1"/>
  <c r="F90" i="7"/>
  <c r="F94" i="7" s="1"/>
  <c r="F102" i="7" s="1"/>
  <c r="F103" i="7" s="1"/>
  <c r="F105" i="7" s="1"/>
  <c r="H9" i="12" s="1"/>
  <c r="H13" i="12" l="1"/>
  <c r="H17" i="12" s="1"/>
  <c r="H18" i="12" s="1"/>
  <c r="F104" i="9"/>
  <c r="G11" i="12" s="1"/>
  <c r="F104" i="7"/>
  <c r="G9" i="12" s="1"/>
</calcChain>
</file>

<file path=xl/sharedStrings.xml><?xml version="1.0" encoding="utf-8"?>
<sst xmlns="http://schemas.openxmlformats.org/spreadsheetml/2006/main" count="1508" uniqueCount="291">
  <si>
    <t>RAMO: ESCOLA SUPERIOR DO MINISTÉRIO PÚBLICO DA UNIÃO</t>
  </si>
  <si>
    <t>UNIDADE GESTORA (SIGLA): ESMPU</t>
  </si>
  <si>
    <t>DATA:</t>
  </si>
  <si>
    <t>CUSTOS REFERENTES AOS SERVIÇOS CONTRATADOS</t>
  </si>
  <si>
    <t>Dados referentes à licitação</t>
  </si>
  <si>
    <t>Nº do Processo (X.XX.XXX.XXXXXX/XXXX-XX)</t>
  </si>
  <si>
    <t>0.01.000.1.003277/2024-10</t>
  </si>
  <si>
    <t>Modalidade de Licitação nº (XX/AAAA)</t>
  </si>
  <si>
    <t>Pregão nº</t>
  </si>
  <si>
    <t>XX/20XX</t>
  </si>
  <si>
    <t>Data / Horário</t>
  </si>
  <si>
    <t>XX/XX/20XX</t>
  </si>
  <si>
    <t>HH:MM</t>
  </si>
  <si>
    <t>Dados referentes à contratação</t>
  </si>
  <si>
    <t>A</t>
  </si>
  <si>
    <t>Data de Apresentação da Proposta (DD/MM/AAAA)</t>
  </si>
  <si>
    <t>B</t>
  </si>
  <si>
    <t>Local de Execução (Sede, Anexo I ou II, PTM, PRM)</t>
  </si>
  <si>
    <t>SEDE DA ESMPU</t>
  </si>
  <si>
    <t>C</t>
  </si>
  <si>
    <t>Unidade da Federação</t>
  </si>
  <si>
    <t>DF</t>
  </si>
  <si>
    <t>D</t>
  </si>
  <si>
    <t>Acordo, Conv. ou Sentença Normativa em Dissídio Coletivo (MM/AAAA)</t>
  </si>
  <si>
    <t>01/2025</t>
  </si>
  <si>
    <t>E</t>
  </si>
  <si>
    <t>Número de Meses de Execução Contratual</t>
  </si>
  <si>
    <t>Identificação do serviço</t>
  </si>
  <si>
    <t>Item</t>
  </si>
  <si>
    <t>Tipo de Serviço</t>
  </si>
  <si>
    <t>Unidade de Medida</t>
  </si>
  <si>
    <t>Empregados por Posto</t>
  </si>
  <si>
    <t>Qtde Total a Contratar</t>
  </si>
  <si>
    <t>Assistente Administrativo</t>
  </si>
  <si>
    <t>Posto</t>
  </si>
  <si>
    <t>Carregador</t>
  </si>
  <si>
    <t>Copeiro</t>
  </si>
  <si>
    <t>Encarregado geral</t>
  </si>
  <si>
    <t>Garçom</t>
  </si>
  <si>
    <t>Operador de máquina reprográfica</t>
  </si>
  <si>
    <t>Recepcionista</t>
  </si>
  <si>
    <t>Total</t>
  </si>
  <si>
    <t>Mão de obra</t>
  </si>
  <si>
    <t>1A</t>
  </si>
  <si>
    <t>Classificação Brasileira de Ocupações (CBO) - Assist. Administrativo</t>
  </si>
  <si>
    <t>4110-10</t>
  </si>
  <si>
    <t>1B</t>
  </si>
  <si>
    <t>Classificação Brasileira de Ocupações (CBO) - Carregador</t>
  </si>
  <si>
    <t>7832-10</t>
  </si>
  <si>
    <t>1C</t>
  </si>
  <si>
    <t>Classificação Brasileira de Ocupações (CBO) - Copeiro</t>
  </si>
  <si>
    <t>5134-25</t>
  </si>
  <si>
    <t>1D</t>
  </si>
  <si>
    <t>Classificação Brasileira de Ocupações (CBO) - Encarregado Geral</t>
  </si>
  <si>
    <t>4101-05</t>
  </si>
  <si>
    <t>1E</t>
  </si>
  <si>
    <t>Classificação Brasileira de Ocupações (CBO) - Garçom</t>
  </si>
  <si>
    <t>5134-05</t>
  </si>
  <si>
    <t>1F</t>
  </si>
  <si>
    <t>Classificação Brasileira de Ocupações (CBO) - Op. de Maq. Reprográfica</t>
  </si>
  <si>
    <t>4151-30</t>
  </si>
  <si>
    <t>1G</t>
  </si>
  <si>
    <t>Classificação Brasileira de Ocupações (CBO) - Recepcionista</t>
  </si>
  <si>
    <t>4221-05</t>
  </si>
  <si>
    <t>Categoria Profissional (vinculada à execução contratual)</t>
  </si>
  <si>
    <t>Apoio Administrativo</t>
  </si>
  <si>
    <t>Data-Base da Categoria (DD/MM/AAAA)</t>
  </si>
  <si>
    <t>Salário Mínimo vigente no país (em R$)</t>
  </si>
  <si>
    <t>CUSTOS POR EMPREGADO</t>
  </si>
  <si>
    <t>MÓDULO 1: COMPOSIÇÃO DA REMUNERAÇÃO</t>
  </si>
  <si>
    <t>Composição da Remuneração</t>
  </si>
  <si>
    <t>Valor / %</t>
  </si>
  <si>
    <t>A1</t>
  </si>
  <si>
    <t>Salário-Base (em R$) - Assistente Administrativo</t>
  </si>
  <si>
    <t>A2</t>
  </si>
  <si>
    <t>Salário-Base (em R$) - Carregador</t>
  </si>
  <si>
    <t>A3</t>
  </si>
  <si>
    <t>Salário-Base (em R$) - Copeiro</t>
  </si>
  <si>
    <t>A4</t>
  </si>
  <si>
    <t>Salário-Base (em R$) - Encarregado Geral</t>
  </si>
  <si>
    <t>A5</t>
  </si>
  <si>
    <t>Salário-Base (em R$) - Garçom</t>
  </si>
  <si>
    <t>A6</t>
  </si>
  <si>
    <t>Salário-Base (em R$) - Operador de Máquina Reprográfica</t>
  </si>
  <si>
    <t>A7</t>
  </si>
  <si>
    <t>Salário-Base (em R$) - Recepcionista</t>
  </si>
  <si>
    <t>Adicional de Periculosidade (em %)</t>
  </si>
  <si>
    <t>Adicional Noturno (em %)</t>
  </si>
  <si>
    <t>Adicional de Insalubridade (em %)</t>
  </si>
  <si>
    <t>Outras Remunerações 1 (Especificar)</t>
  </si>
  <si>
    <t>F</t>
  </si>
  <si>
    <t>Outras Remunerações 2 (Especificar)</t>
  </si>
  <si>
    <t>G</t>
  </si>
  <si>
    <t>Outras Remunerações 3 (Especificar)</t>
  </si>
  <si>
    <t>MÓDULO 2: ENCARGOS E BENEFÍCIOS ANUAIS, MENSAIS E DIÁRIOS</t>
  </si>
  <si>
    <t>Submódulo 2.3 - Benefícios Mensais e Diários</t>
  </si>
  <si>
    <t>2.3</t>
  </si>
  <si>
    <t>Benefícios Mensais e Diários</t>
  </si>
  <si>
    <t>Frequência</t>
  </si>
  <si>
    <t>Valor (em R$)</t>
  </si>
  <si>
    <t>Transporte</t>
  </si>
  <si>
    <t>Diária</t>
  </si>
  <si>
    <t>Auxílio-Refeição/Alimentação</t>
  </si>
  <si>
    <t>Dias Trabalhados no mês (15 dias intercalados ou 22 dias úteis)</t>
  </si>
  <si>
    <t>Mensal</t>
  </si>
  <si>
    <t>Assistência Funeral - Seguro de Vida Coletivo</t>
  </si>
  <si>
    <t>Outros Benefícios 2 (Especificar)</t>
  </si>
  <si>
    <t>Outros Benefícios 3 (Especificar)</t>
  </si>
  <si>
    <t>MÓDULO 4: CUSTO DE REPOSIÇÃO DO PROFISSIONAL AUSENTE</t>
  </si>
  <si>
    <t>Submódulo 4.1 - Substituto nas Ausências Legais</t>
  </si>
  <si>
    <t>4.1</t>
  </si>
  <si>
    <t>Substituto nas Ausências Legais</t>
  </si>
  <si>
    <t>%</t>
  </si>
  <si>
    <t>Outras Ausências (Especificar - em %)</t>
  </si>
  <si>
    <t>Submódulo 4.2 - Substituto na Intrajornada</t>
  </si>
  <si>
    <t>4.2</t>
  </si>
  <si>
    <t>Substituto na Intrajornada</t>
  </si>
  <si>
    <t>% / Minutos</t>
  </si>
  <si>
    <t>Hora Extra (em %)</t>
  </si>
  <si>
    <t>Tempo de Intervalo para Refeição (em minutos)</t>
  </si>
  <si>
    <t>MÓDULO 5: INSUMOS DIVERSOS</t>
  </si>
  <si>
    <t>Insumos Diversos</t>
  </si>
  <si>
    <t>Valor (R$)</t>
  </si>
  <si>
    <t>Uniformes - Assistente Administrativo</t>
  </si>
  <si>
    <t>Uniformes - Carregador</t>
  </si>
  <si>
    <t>Uniformes - Copeiro</t>
  </si>
  <si>
    <t>Uniformes - Encarregado Geral</t>
  </si>
  <si>
    <t>Uniformes -Garçom</t>
  </si>
  <si>
    <t>Uniformes - Operador de Máquina Reprográfica</t>
  </si>
  <si>
    <t>Uniformes - Recepcionista</t>
  </si>
  <si>
    <t>B1</t>
  </si>
  <si>
    <t>Materiais - Assistente Administrativo</t>
  </si>
  <si>
    <t>B2</t>
  </si>
  <si>
    <t>Materiais - Carregador</t>
  </si>
  <si>
    <t>B3</t>
  </si>
  <si>
    <t>Materiais - Copeiro</t>
  </si>
  <si>
    <t>B4</t>
  </si>
  <si>
    <t>Materiais - Encarregado Geral</t>
  </si>
  <si>
    <t>B5</t>
  </si>
  <si>
    <t>Materiais - Garçom</t>
  </si>
  <si>
    <t>B6</t>
  </si>
  <si>
    <t>Materiais - Operador de Máquina Reprográfica</t>
  </si>
  <si>
    <t>B7</t>
  </si>
  <si>
    <t>Materiais - Recepcionista</t>
  </si>
  <si>
    <t>C1</t>
  </si>
  <si>
    <t>Equipamentos - Assistente Administrativo</t>
  </si>
  <si>
    <t>C2</t>
  </si>
  <si>
    <t>Equipamentos - Carregador</t>
  </si>
  <si>
    <t>C3</t>
  </si>
  <si>
    <t>Equipamentos - Copeiro</t>
  </si>
  <si>
    <t>C4</t>
  </si>
  <si>
    <t>Equipamentos - Encarregado Geral</t>
  </si>
  <si>
    <t>C5</t>
  </si>
  <si>
    <t>Equipamentos - Garçom</t>
  </si>
  <si>
    <t>C6</t>
  </si>
  <si>
    <t>Equipamentos - Operador de Máquina Reprográfica</t>
  </si>
  <si>
    <t>C7</t>
  </si>
  <si>
    <t>Equipamentos - Recepcionista</t>
  </si>
  <si>
    <t>Outros (Especificar)</t>
  </si>
  <si>
    <t>MÓDULO 6: CUSTOS INDIRETOS, TRIBUTOS E LUCRO</t>
  </si>
  <si>
    <t>Custos Indiretos, Tributos e Lucro</t>
  </si>
  <si>
    <t>Custos Indiretos</t>
  </si>
  <si>
    <t>Lucro</t>
  </si>
  <si>
    <t>C.1</t>
  </si>
  <si>
    <t>PIS</t>
  </si>
  <si>
    <t>C.2</t>
  </si>
  <si>
    <t>Cofins</t>
  </si>
  <si>
    <t>C.3</t>
  </si>
  <si>
    <t>ISS</t>
  </si>
  <si>
    <t>OBSERVAÇÃO</t>
  </si>
  <si>
    <t>Para mais informações, consulte o Referencial Técnico de Custos, constante da aba PUBLICAÇÕES, na página da Auditoria Interna do MPU na internet (www.auditoria.mpu.mp.br).</t>
  </si>
  <si>
    <t>DADOS ESTATÍSTICOS</t>
  </si>
  <si>
    <t>Dias / Horas / Minutos</t>
  </si>
  <si>
    <t>Divisor de Horas (em horas)</t>
  </si>
  <si>
    <t>Dias na Semana</t>
  </si>
  <si>
    <t>Dias no Ano</t>
  </si>
  <si>
    <t>I</t>
  </si>
  <si>
    <t>Média Anual de Dias Trabalhados no Mês</t>
  </si>
  <si>
    <t>J</t>
  </si>
  <si>
    <t xml:space="preserve">Meses no Ano </t>
  </si>
  <si>
    <t>K</t>
  </si>
  <si>
    <t>Hora Normal (em minutos)</t>
  </si>
  <si>
    <t>L</t>
  </si>
  <si>
    <t>Hora Noturna (em minutos)</t>
  </si>
  <si>
    <t>Desconto Remuneração Transporte</t>
  </si>
  <si>
    <t>MÓDULO 3: PROVISÃO PARA RESCISÃO</t>
  </si>
  <si>
    <t>Provisão para Rescisão</t>
  </si>
  <si>
    <t>Dias / %</t>
  </si>
  <si>
    <t>Pessoas demitidas sem justa causa / Total de desligamentos (em %)</t>
  </si>
  <si>
    <t>Empregados que recebem aviso prévio indenizado (em %)</t>
  </si>
  <si>
    <t>Multa do FGTS (em %)</t>
  </si>
  <si>
    <t>Empregados que recebem aviso prévio trabalhado (em %)</t>
  </si>
  <si>
    <t>Dias no mês</t>
  </si>
  <si>
    <t>Dias de Ausências Legais</t>
  </si>
  <si>
    <t>Dias de Licença-Paternidade</t>
  </si>
  <si>
    <t>Nascidos Vivos / População Feminina (em %)</t>
  </si>
  <si>
    <t>Participação Masculina(em %)</t>
  </si>
  <si>
    <t>Empregados afastados por acidente de trabalho (em %)</t>
  </si>
  <si>
    <t>Dias pagos pela empresa em acidentes de trabalho</t>
  </si>
  <si>
    <t>Dias de Licença-Maternidade</t>
  </si>
  <si>
    <t>H</t>
  </si>
  <si>
    <t>Participação Feminina (em %)</t>
  </si>
  <si>
    <t>Submódulo 4.2 - Intrajornada</t>
  </si>
  <si>
    <t>Intrajornada</t>
  </si>
  <si>
    <t>Minutos / %</t>
  </si>
  <si>
    <t>ENCARGOS SOCIAIS E TRABALHISTAS</t>
  </si>
  <si>
    <t>Submódulo 2.1 - 13º (décimo terceiro) Salário e Adicional de Férias</t>
  </si>
  <si>
    <t>2.1</t>
  </si>
  <si>
    <t>13º Salário e Adicional de Férias</t>
  </si>
  <si>
    <t>Memória de Cálculo</t>
  </si>
  <si>
    <t>13º Salário</t>
  </si>
  <si>
    <t>(1/12) x 100</t>
  </si>
  <si>
    <t>Adicional de Férias</t>
  </si>
  <si>
    <t>[(1/3)/12] x 100</t>
  </si>
  <si>
    <t>Submódulo 2.2 - Encargos Previdencários (GPS), Fundo de Garantia por Tempo de Serviço (FGTS) e Outras Contribuições</t>
  </si>
  <si>
    <t>2.2</t>
  </si>
  <si>
    <t>Encargos Previdenciários (GPS), Fundo de Garantia por Tempo de Serviço (FGTS) e outras contribuições</t>
  </si>
  <si>
    <t>INSS</t>
  </si>
  <si>
    <t>Salário Educação</t>
  </si>
  <si>
    <t>RAT x FAP*</t>
  </si>
  <si>
    <t>SESC</t>
  </si>
  <si>
    <t>SENAC</t>
  </si>
  <si>
    <t>SEBRAE</t>
  </si>
  <si>
    <t>INCRA</t>
  </si>
  <si>
    <t>FGTS</t>
  </si>
  <si>
    <t>TOTAL</t>
  </si>
  <si>
    <t>Aviso Prévio Indenizado</t>
  </si>
  <si>
    <t>[(62,93%) x 5,55% x (1/12)] x 100</t>
  </si>
  <si>
    <t>Aviso Prévio Trabalhado</t>
  </si>
  <si>
    <t>[(62,93%) x 94,45% x (7/30)/12] x 100</t>
  </si>
  <si>
    <t>Multa do FGTS sobre o Aviso Prévio Trabalhado</t>
  </si>
  <si>
    <t>1,16% x 40%  x 8,00% x 100</t>
  </si>
  <si>
    <t xml:space="preserve">Substituto na Cobertura de Férias </t>
  </si>
  <si>
    <t xml:space="preserve">(1/12) x 100 </t>
  </si>
  <si>
    <t>Substituto na Cobertura de Ausências Legais</t>
  </si>
  <si>
    <t>[(8/30)/12] x 100</t>
  </si>
  <si>
    <t>Substituto na Cobertura de Licença-Paternidade</t>
  </si>
  <si>
    <t>{[(20/30)/12] x 1,416% x 45,22%} x 100</t>
  </si>
  <si>
    <t>Substituto na Cobertura de Ausência por Acidente de Trabalho</t>
  </si>
  <si>
    <t>[(15/30)/12] x 0,44%} x 100</t>
  </si>
  <si>
    <t>Substituto na Cobertura de Afastamento Maternidade</t>
  </si>
  <si>
    <t>{[(180/30)/12] x 1,416% x 54,78% x 36,80%} x 100</t>
  </si>
  <si>
    <t xml:space="preserve">Para mais informações, consulte o Referencial Técnico de Custos, constante da aba PUBLICAÇÕES, na página da Auditoria Interna do MPU na internet (www.auditoria.mpu.mp.br). *FAP - Deverá estar previsto na proposta da empresa licitante e comprovada sua incidência posteriormente. </t>
  </si>
  <si>
    <t>CUSTOS REFERENTES AO POSTO</t>
  </si>
  <si>
    <t>Nº do Processo</t>
  </si>
  <si>
    <t>Modalidade de Licitação</t>
  </si>
  <si>
    <t>DISCRIMINAÇÃO DOS SERVIÇOS (DADOS REFERENTES À CONTRATAÇÃO)</t>
  </si>
  <si>
    <t>Quantidade de Postos</t>
  </si>
  <si>
    <t>Tipo de Serviço (mesmo serviço com características distintas)</t>
  </si>
  <si>
    <t>Classificação Brasileira de Ocupações (CBO)</t>
  </si>
  <si>
    <t>PLANILHA DE CUSTOS E FORMAÇÃO DE PREÇOS</t>
  </si>
  <si>
    <t>EMPREGADOS POR POSTO</t>
  </si>
  <si>
    <t>Salário-Base</t>
  </si>
  <si>
    <t>Adicional de Periculosidade</t>
  </si>
  <si>
    <t>Adicional Noturno</t>
  </si>
  <si>
    <t>Adicional de Hora Noturna Reduzida (em %)</t>
  </si>
  <si>
    <t>Adicional de Insalubridade</t>
  </si>
  <si>
    <t>Substituto na Cobertura de Intervalo para Repouso e Alimentação</t>
  </si>
  <si>
    <t>Uniformes</t>
  </si>
  <si>
    <t>Materiais</t>
  </si>
  <si>
    <t>Equipamentos</t>
  </si>
  <si>
    <t>Tributos</t>
  </si>
  <si>
    <t>QUADRO RESUMO - CUSTO POR EMPREGADO</t>
  </si>
  <si>
    <t>MÓD.</t>
  </si>
  <si>
    <t>Mão-de-obra vinculada à execução contratual (valor por empregado)</t>
  </si>
  <si>
    <t>Valor    (R$)</t>
  </si>
  <si>
    <t>Encargos e Benefícios Anuais, Mensais e Diários</t>
  </si>
  <si>
    <t>Custo de Reposição do Profissional Ausente</t>
  </si>
  <si>
    <t>VALOR TOTAL DO EMPREGADO</t>
  </si>
  <si>
    <t>VALOR TOTAL POR POSTO</t>
  </si>
  <si>
    <t>VALOR TOTAL DA CATEGORIA</t>
  </si>
  <si>
    <t xml:space="preserve">*FAP - Deverá estar previsto na proposta da empresa licitante e comprovada sua incidência posteriormente. </t>
  </si>
  <si>
    <t>QUADRO RESUMO - VALOR MENSAL DOS SERVIÇOS</t>
  </si>
  <si>
    <t>ITEM</t>
  </si>
  <si>
    <t>Local da Execução dos Serviços</t>
  </si>
  <si>
    <t>Qtde de postos
(A)</t>
  </si>
  <si>
    <t>Qtde Total a Contratar
(B)</t>
  </si>
  <si>
    <t>Valor por posto (R$)     (C)</t>
  </si>
  <si>
    <t>Valor total do serviço (R$)          D = (AxBxC)</t>
  </si>
  <si>
    <t>II</t>
  </si>
  <si>
    <t>III</t>
  </si>
  <si>
    <t>IV</t>
  </si>
  <si>
    <t>V</t>
  </si>
  <si>
    <t>VI</t>
  </si>
  <si>
    <t>VII</t>
  </si>
  <si>
    <t>VALOR MENSAL DOS SERVIÇOS (I + II + III + IV + V + VI + VII)</t>
  </si>
  <si>
    <t>Quantidade de funcionários</t>
  </si>
  <si>
    <t>Custo do plano de saúde mensal por funcionário</t>
  </si>
  <si>
    <t>Custo do fundo social e odontológico mensal por funcionário</t>
  </si>
  <si>
    <t>VALOR MENSAL FINAL PARA A CONTRATAÇÃO</t>
  </si>
  <si>
    <t>VALOR ANUAL DOS SERVIÇOS (I + II + III + IV + V + VI + VII)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</si>
</sst>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yy"/>
    <numFmt numFmtId="165" formatCode="#,##0.00_);\(#,##0.00\)"/>
    <numFmt numFmtId="166" formatCode="#,##0_);\(#,##0\)"/>
    <numFmt numFmtId="167" formatCode="#,##0.0"/>
    <numFmt numFmtId="168" formatCode="#,##0.00_ ;\-#,##0.00\ "/>
  </numFmts>
  <fonts count="28" x14ac:knownFonts="1">
    <font>
      <sz val="10"/>
      <name val="Arial"/>
      <family val="2"/>
      <charset val="1"/>
    </font>
    <font>
      <b/>
      <sz val="18"/>
      <color rgb="FF003366"/>
      <name val="Cambria"/>
      <family val="2"/>
      <charset val="1"/>
    </font>
    <font>
      <b/>
      <sz val="15"/>
      <color rgb="FF003366"/>
      <name val="Calibri"/>
      <family val="2"/>
      <charset val="1"/>
    </font>
    <font>
      <sz val="11"/>
      <name val="Segoe UI Light"/>
      <family val="2"/>
      <charset val="1"/>
    </font>
    <font>
      <sz val="14"/>
      <name val="Segoe UI Light"/>
      <family val="2"/>
      <charset val="1"/>
    </font>
    <font>
      <sz val="8"/>
      <name val="Segoe UI Light"/>
      <family val="2"/>
      <charset val="1"/>
    </font>
    <font>
      <b/>
      <sz val="16"/>
      <color rgb="FF632523"/>
      <name val="Segoe UI Light"/>
      <family val="2"/>
      <charset val="1"/>
    </font>
    <font>
      <b/>
      <sz val="11"/>
      <color rgb="FFFFFFFF"/>
      <name val="Segoe UI Light"/>
      <family val="2"/>
      <charset val="1"/>
    </font>
    <font>
      <b/>
      <sz val="11"/>
      <name val="Segoe UI Light"/>
      <family val="2"/>
      <charset val="1"/>
    </font>
    <font>
      <sz val="11"/>
      <color rgb="FF000000"/>
      <name val="Segoe UI Light"/>
      <family val="2"/>
      <charset val="1"/>
    </font>
    <font>
      <b/>
      <sz val="11"/>
      <color rgb="FF632523"/>
      <name val="Segoe UI Light"/>
      <family val="2"/>
      <charset val="1"/>
    </font>
    <font>
      <sz val="11"/>
      <color rgb="FFFF0000"/>
      <name val="Segoe UI Light"/>
      <family val="2"/>
      <charset val="1"/>
    </font>
    <font>
      <i/>
      <sz val="10"/>
      <color rgb="FFFFFFFF"/>
      <name val="Segoe UI Light"/>
      <family val="2"/>
      <charset val="1"/>
    </font>
    <font>
      <b/>
      <sz val="14"/>
      <color rgb="FF953735"/>
      <name val="Segoe UI Light"/>
      <family val="2"/>
      <charset val="1"/>
    </font>
    <font>
      <sz val="11"/>
      <color rgb="FF953735"/>
      <name val="Segoe UI Light"/>
      <family val="2"/>
      <charset val="1"/>
    </font>
    <font>
      <b/>
      <sz val="12"/>
      <color rgb="FF632523"/>
      <name val="Segoe UI Light"/>
      <family val="2"/>
      <charset val="1"/>
    </font>
    <font>
      <b/>
      <sz val="20"/>
      <color rgb="FF953735"/>
      <name val="Segoe UI Light"/>
      <family val="2"/>
      <charset val="1"/>
    </font>
    <font>
      <b/>
      <sz val="16"/>
      <name val="Segoe UI Light"/>
      <family val="2"/>
      <charset val="1"/>
    </font>
    <font>
      <i/>
      <sz val="10"/>
      <name val="Segoe UI Light"/>
      <family val="2"/>
      <charset val="1"/>
    </font>
    <font>
      <b/>
      <sz val="14"/>
      <color rgb="FF632523"/>
      <name val="Segoe UI Light"/>
      <family val="2"/>
      <charset val="1"/>
    </font>
    <font>
      <sz val="8"/>
      <name val="Arial"/>
      <family val="2"/>
      <charset val="1"/>
    </font>
    <font>
      <sz val="14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4"/>
      <color theme="5" tint="-0.499984740745262"/>
      <name val="Segoe UI Light"/>
      <family val="2"/>
    </font>
    <font>
      <b/>
      <sz val="11"/>
      <color theme="0"/>
      <name val="Segoe UI Light"/>
      <family val="2"/>
    </font>
    <font>
      <b/>
      <sz val="11"/>
      <color rgb="FFFFFFFF"/>
      <name val="Segoe UI Light"/>
      <family val="2"/>
    </font>
    <font>
      <sz val="10"/>
      <name val="Segoe UI Light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79646"/>
        <bgColor rgb="FFFF8080"/>
      </patternFill>
    </fill>
    <fill>
      <patternFill patternType="solid">
        <fgColor rgb="FFFDEADA"/>
        <bgColor rgb="FFF2F2F2"/>
      </patternFill>
    </fill>
    <fill>
      <patternFill patternType="solid">
        <fgColor rgb="FFD55816"/>
        <bgColor rgb="FF993300"/>
      </patternFill>
    </fill>
    <fill>
      <patternFill patternType="solid">
        <fgColor rgb="FFFCD5B5"/>
        <bgColor rgb="FFFDEADA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D55816"/>
        <bgColor indexed="64"/>
      </patternFill>
    </fill>
    <fill>
      <patternFill patternType="solid">
        <fgColor rgb="FFD55816"/>
        <bgColor indexed="26"/>
      </patternFill>
    </fill>
    <fill>
      <patternFill patternType="solid">
        <fgColor rgb="FFD55816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55816"/>
        <bgColor rgb="FFD55816"/>
      </patternFill>
    </fill>
  </fills>
  <borders count="16">
    <border>
      <left/>
      <right/>
      <top/>
      <bottom/>
      <diagonal/>
    </border>
    <border>
      <left/>
      <right/>
      <top/>
      <bottom style="thick">
        <color rgb="FF333399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F2F2F2"/>
      </top>
      <bottom/>
      <diagonal/>
    </border>
    <border>
      <left/>
      <right/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3">
    <xf numFmtId="0" fontId="0" fillId="0" borderId="0"/>
    <xf numFmtId="0" fontId="1" fillId="0" borderId="0" applyBorder="0" applyProtection="0"/>
    <xf numFmtId="0" fontId="2" fillId="0" borderId="1" applyProtection="0"/>
  </cellStyleXfs>
  <cellXfs count="179">
    <xf numFmtId="0" fontId="0" fillId="0" borderId="0" xfId="0"/>
    <xf numFmtId="0" fontId="3" fillId="4" borderId="2" xfId="0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left"/>
    </xf>
    <xf numFmtId="0" fontId="3" fillId="2" borderId="0" xfId="0" applyFont="1" applyFill="1"/>
    <xf numFmtId="0" fontId="4" fillId="4" borderId="3" xfId="0" applyFont="1" applyFill="1" applyBorder="1" applyAlignment="1">
      <alignment horizontal="right"/>
    </xf>
    <xf numFmtId="0" fontId="5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center"/>
    </xf>
    <xf numFmtId="0" fontId="7" fillId="5" borderId="2" xfId="0" applyFont="1" applyFill="1" applyBorder="1" applyAlignment="1">
      <alignment horizontal="center"/>
    </xf>
    <xf numFmtId="164" fontId="3" fillId="3" borderId="2" xfId="0" applyNumberFormat="1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6" borderId="2" xfId="0" applyFont="1" applyFill="1" applyBorder="1"/>
    <xf numFmtId="0" fontId="3" fillId="4" borderId="2" xfId="0" applyFont="1" applyFill="1" applyBorder="1"/>
    <xf numFmtId="4" fontId="3" fillId="3" borderId="2" xfId="0" applyNumberFormat="1" applyFont="1" applyFill="1" applyBorder="1" applyAlignment="1" applyProtection="1">
      <alignment horizontal="right"/>
      <protection locked="0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right"/>
    </xf>
    <xf numFmtId="0" fontId="7" fillId="5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0" xfId="0" applyFont="1" applyFill="1"/>
    <xf numFmtId="165" fontId="3" fillId="2" borderId="0" xfId="0" applyNumberFormat="1" applyFont="1" applyFill="1" applyAlignment="1">
      <alignment horizontal="center"/>
    </xf>
    <xf numFmtId="0" fontId="7" fillId="5" borderId="5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>
      <alignment horizontal="center"/>
    </xf>
    <xf numFmtId="166" fontId="3" fillId="3" borderId="2" xfId="0" applyNumberFormat="1" applyFont="1" applyFill="1" applyBorder="1" applyAlignment="1" applyProtection="1">
      <alignment horizontal="right" vertical="center" wrapText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/>
    </xf>
    <xf numFmtId="165" fontId="3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165" fontId="3" fillId="3" borderId="2" xfId="0" applyNumberFormat="1" applyFont="1" applyFill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165" fontId="14" fillId="2" borderId="0" xfId="0" applyNumberFormat="1" applyFont="1" applyFill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right" vertical="center" wrapText="1"/>
    </xf>
    <xf numFmtId="3" fontId="3" fillId="4" borderId="2" xfId="0" applyNumberFormat="1" applyFont="1" applyFill="1" applyBorder="1" applyAlignment="1">
      <alignment horizontal="right" vertical="center" wrapText="1"/>
    </xf>
    <xf numFmtId="167" fontId="3" fillId="4" borderId="2" xfId="0" applyNumberFormat="1" applyFont="1" applyFill="1" applyBorder="1" applyAlignment="1">
      <alignment horizontal="right" vertical="center" wrapText="1"/>
    </xf>
    <xf numFmtId="167" fontId="3" fillId="6" borderId="2" xfId="0" applyNumberFormat="1" applyFont="1" applyFill="1" applyBorder="1" applyAlignment="1">
      <alignment horizontal="right" vertical="center" wrapText="1"/>
    </xf>
    <xf numFmtId="166" fontId="3" fillId="4" borderId="2" xfId="0" applyNumberFormat="1" applyFont="1" applyFill="1" applyBorder="1" applyAlignment="1">
      <alignment horizontal="right" vertical="center" wrapText="1"/>
    </xf>
    <xf numFmtId="165" fontId="3" fillId="6" borderId="2" xfId="0" applyNumberFormat="1" applyFont="1" applyFill="1" applyBorder="1" applyAlignment="1">
      <alignment horizontal="right" vertical="center" wrapText="1"/>
    </xf>
    <xf numFmtId="165" fontId="3" fillId="4" borderId="2" xfId="0" applyNumberFormat="1" applyFont="1" applyFill="1" applyBorder="1" applyAlignment="1">
      <alignment horizontal="right" vertical="center" wrapText="1"/>
    </xf>
    <xf numFmtId="166" fontId="3" fillId="6" borderId="2" xfId="0" applyNumberFormat="1" applyFont="1" applyFill="1" applyBorder="1" applyAlignment="1">
      <alignment horizontal="right" vertical="center" wrapText="1"/>
    </xf>
    <xf numFmtId="2" fontId="3" fillId="6" borderId="2" xfId="0" applyNumberFormat="1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164" fontId="4" fillId="4" borderId="3" xfId="0" applyNumberFormat="1" applyFont="1" applyFill="1" applyBorder="1" applyAlignment="1">
      <alignment horizontal="right"/>
    </xf>
    <xf numFmtId="164" fontId="4" fillId="4" borderId="3" xfId="0" applyNumberFormat="1" applyFont="1" applyFill="1" applyBorder="1"/>
    <xf numFmtId="49" fontId="3" fillId="4" borderId="2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2" fontId="3" fillId="6" borderId="2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164" fontId="3" fillId="4" borderId="2" xfId="0" applyNumberFormat="1" applyFont="1" applyFill="1" applyBorder="1" applyAlignment="1">
      <alignment horizontal="center"/>
    </xf>
    <xf numFmtId="0" fontId="14" fillId="2" borderId="0" xfId="0" applyFont="1" applyFill="1"/>
    <xf numFmtId="166" fontId="3" fillId="6" borderId="2" xfId="0" applyNumberFormat="1" applyFont="1" applyFill="1" applyBorder="1" applyAlignment="1">
      <alignment horizontal="center"/>
    </xf>
    <xf numFmtId="4" fontId="3" fillId="6" borderId="2" xfId="0" applyNumberFormat="1" applyFont="1" applyFill="1" applyBorder="1" applyAlignment="1">
      <alignment horizontal="right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7" fillId="5" borderId="2" xfId="0" applyNumberFormat="1" applyFont="1" applyFill="1" applyBorder="1" applyAlignment="1">
      <alignment horizontal="right" vertical="center" wrapText="1"/>
    </xf>
    <xf numFmtId="4" fontId="7" fillId="5" borderId="2" xfId="0" applyNumberFormat="1" applyFont="1" applyFill="1" applyBorder="1" applyAlignment="1">
      <alignment horizontal="right"/>
    </xf>
    <xf numFmtId="4" fontId="7" fillId="5" borderId="2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168" fontId="3" fillId="4" borderId="2" xfId="0" applyNumberFormat="1" applyFont="1" applyFill="1" applyBorder="1" applyAlignment="1">
      <alignment horizontal="center" vertical="center" wrapText="1"/>
    </xf>
    <xf numFmtId="165" fontId="3" fillId="6" borderId="6" xfId="0" applyNumberFormat="1" applyFont="1" applyFill="1" applyBorder="1" applyAlignment="1">
      <alignment horizontal="right" vertical="center" wrapText="1"/>
    </xf>
    <xf numFmtId="165" fontId="3" fillId="4" borderId="6" xfId="0" applyNumberFormat="1" applyFont="1" applyFill="1" applyBorder="1" applyAlignment="1">
      <alignment horizontal="right" vertical="center" wrapText="1"/>
    </xf>
    <xf numFmtId="4" fontId="7" fillId="5" borderId="6" xfId="0" applyNumberFormat="1" applyFont="1" applyFill="1" applyBorder="1" applyAlignment="1">
      <alignment horizontal="right" vertical="center" wrapText="1"/>
    </xf>
    <xf numFmtId="165" fontId="3" fillId="6" borderId="2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165" fontId="18" fillId="4" borderId="2" xfId="0" applyNumberFormat="1" applyFont="1" applyFill="1" applyBorder="1" applyAlignment="1">
      <alignment horizontal="center" vertical="center" wrapText="1"/>
    </xf>
    <xf numFmtId="165" fontId="18" fillId="4" borderId="2" xfId="0" applyNumberFormat="1" applyFont="1" applyFill="1" applyBorder="1" applyAlignment="1">
      <alignment horizontal="right" vertical="center" wrapText="1"/>
    </xf>
    <xf numFmtId="165" fontId="18" fillId="6" borderId="2" xfId="0" applyNumberFormat="1" applyFont="1" applyFill="1" applyBorder="1" applyAlignment="1">
      <alignment horizontal="center" vertical="center" wrapText="1"/>
    </xf>
    <xf numFmtId="165" fontId="18" fillId="6" borderId="2" xfId="0" applyNumberFormat="1" applyFont="1" applyFill="1" applyBorder="1" applyAlignment="1">
      <alignment horizontal="right" vertical="center" wrapText="1"/>
    </xf>
    <xf numFmtId="165" fontId="7" fillId="5" borderId="2" xfId="0" applyNumberFormat="1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4" fontId="4" fillId="3" borderId="3" xfId="0" applyNumberFormat="1" applyFont="1" applyFill="1" applyBorder="1" applyProtection="1">
      <protection locked="0"/>
    </xf>
    <xf numFmtId="3" fontId="3" fillId="6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22" fillId="8" borderId="0" xfId="0" applyFont="1" applyFill="1"/>
    <xf numFmtId="14" fontId="21" fillId="9" borderId="10" xfId="0" applyNumberFormat="1" applyFont="1" applyFill="1" applyBorder="1" applyAlignment="1">
      <alignment horizontal="right"/>
    </xf>
    <xf numFmtId="14" fontId="21" fillId="9" borderId="10" xfId="0" applyNumberFormat="1" applyFont="1" applyFill="1" applyBorder="1"/>
    <xf numFmtId="0" fontId="23" fillId="10" borderId="0" xfId="0" applyFont="1" applyFill="1"/>
    <xf numFmtId="0" fontId="25" fillId="11" borderId="14" xfId="0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0" fontId="25" fillId="11" borderId="14" xfId="0" applyFont="1" applyFill="1" applyBorder="1" applyAlignment="1">
      <alignment horizontal="center" vertical="center" wrapText="1"/>
    </xf>
    <xf numFmtId="0" fontId="25" fillId="13" borderId="14" xfId="0" applyFont="1" applyFill="1" applyBorder="1" applyAlignment="1">
      <alignment horizontal="center" vertical="center" wrapText="1"/>
    </xf>
    <xf numFmtId="3" fontId="22" fillId="14" borderId="14" xfId="0" applyNumberFormat="1" applyFont="1" applyFill="1" applyBorder="1" applyAlignment="1">
      <alignment horizontal="left" vertical="center" wrapText="1"/>
    </xf>
    <xf numFmtId="3" fontId="22" fillId="14" borderId="14" xfId="0" applyNumberFormat="1" applyFont="1" applyFill="1" applyBorder="1" applyAlignment="1">
      <alignment horizontal="center" vertical="center" wrapText="1"/>
    </xf>
    <xf numFmtId="4" fontId="22" fillId="14" borderId="14" xfId="0" applyNumberFormat="1" applyFont="1" applyFill="1" applyBorder="1" applyAlignment="1">
      <alignment vertical="center" wrapText="1"/>
    </xf>
    <xf numFmtId="4" fontId="22" fillId="14" borderId="14" xfId="0" applyNumberFormat="1" applyFont="1" applyFill="1" applyBorder="1" applyAlignment="1">
      <alignment horizontal="right" vertical="center" wrapText="1"/>
    </xf>
    <xf numFmtId="3" fontId="25" fillId="11" borderId="14" xfId="0" applyNumberFormat="1" applyFont="1" applyFill="1" applyBorder="1" applyAlignment="1">
      <alignment horizontal="center" vertical="center" wrapText="1"/>
    </xf>
    <xf numFmtId="4" fontId="25" fillId="11" borderId="14" xfId="0" applyNumberFormat="1" applyFont="1" applyFill="1" applyBorder="1" applyAlignment="1">
      <alignment vertical="center" wrapText="1"/>
    </xf>
    <xf numFmtId="4" fontId="25" fillId="11" borderId="14" xfId="0" applyNumberFormat="1" applyFont="1" applyFill="1" applyBorder="1" applyAlignment="1">
      <alignment horizontal="right" vertical="center" wrapText="1"/>
    </xf>
    <xf numFmtId="4" fontId="26" fillId="15" borderId="2" xfId="0" applyNumberFormat="1" applyFont="1" applyFill="1" applyBorder="1" applyAlignment="1">
      <alignment horizontal="right" vertical="center" wrapText="1"/>
    </xf>
    <xf numFmtId="0" fontId="27" fillId="8" borderId="0" xfId="0" applyFont="1" applyFill="1"/>
    <xf numFmtId="3" fontId="25" fillId="11" borderId="14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center"/>
    </xf>
    <xf numFmtId="0" fontId="7" fillId="5" borderId="4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left"/>
    </xf>
    <xf numFmtId="0" fontId="3" fillId="3" borderId="2" xfId="0" applyFont="1" applyFill="1" applyBorder="1" applyAlignment="1" applyProtection="1">
      <alignment horizontal="right"/>
      <protection locked="0"/>
    </xf>
    <xf numFmtId="49" fontId="3" fillId="3" borderId="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4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165" fontId="3" fillId="6" borderId="2" xfId="0" applyNumberFormat="1" applyFont="1" applyFill="1" applyBorder="1" applyAlignment="1">
      <alignment horizontal="left" vertical="center" wrapText="1"/>
    </xf>
    <xf numFmtId="165" fontId="3" fillId="4" borderId="2" xfId="0" applyNumberFormat="1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 applyProtection="1">
      <alignment horizontal="left" vertical="center" wrapText="1"/>
      <protection locked="0"/>
    </xf>
    <xf numFmtId="4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7" fillId="5" borderId="2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wrapText="1"/>
    </xf>
    <xf numFmtId="0" fontId="3" fillId="6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justify" vertical="center" wrapText="1"/>
    </xf>
    <xf numFmtId="0" fontId="3" fillId="4" borderId="2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justify" vertical="center" wrapText="1"/>
    </xf>
    <xf numFmtId="0" fontId="3" fillId="6" borderId="2" xfId="0" applyFont="1" applyFill="1" applyBorder="1" applyAlignment="1">
      <alignment horizontal="justify" vertical="center"/>
    </xf>
    <xf numFmtId="0" fontId="3" fillId="4" borderId="2" xfId="0" applyFont="1" applyFill="1" applyBorder="1" applyAlignment="1">
      <alignment horizontal="justify" vertical="center"/>
    </xf>
    <xf numFmtId="0" fontId="4" fillId="6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3" fillId="6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justify" vertical="center" wrapText="1"/>
    </xf>
    <xf numFmtId="0" fontId="3" fillId="6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left" vertical="center" wrapText="1"/>
    </xf>
    <xf numFmtId="4" fontId="3" fillId="4" borderId="6" xfId="0" applyNumberFormat="1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 indent="1"/>
    </xf>
    <xf numFmtId="0" fontId="18" fillId="6" borderId="2" xfId="0" applyFont="1" applyFill="1" applyBorder="1" applyAlignment="1">
      <alignment horizontal="left" vertical="center" wrapText="1" indent="1"/>
    </xf>
    <xf numFmtId="49" fontId="3" fillId="4" borderId="2" xfId="0" applyNumberFormat="1" applyFont="1" applyFill="1" applyBorder="1" applyAlignment="1">
      <alignment horizontal="center"/>
    </xf>
    <xf numFmtId="49" fontId="3" fillId="6" borderId="3" xfId="0" applyNumberFormat="1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6" fillId="15" borderId="15" xfId="0" applyFont="1" applyFill="1" applyBorder="1" applyAlignment="1">
      <alignment horizontal="left" vertical="center"/>
    </xf>
    <xf numFmtId="0" fontId="25" fillId="11" borderId="10" xfId="0" applyFont="1" applyFill="1" applyBorder="1" applyAlignment="1">
      <alignment horizontal="left" vertical="center" wrapText="1"/>
    </xf>
    <xf numFmtId="0" fontId="25" fillId="11" borderId="11" xfId="0" applyFont="1" applyFill="1" applyBorder="1" applyAlignment="1">
      <alignment horizontal="left" vertical="center" wrapText="1"/>
    </xf>
    <xf numFmtId="0" fontId="25" fillId="11" borderId="12" xfId="0" applyFont="1" applyFill="1" applyBorder="1" applyAlignment="1">
      <alignment horizontal="left" vertical="center" wrapText="1"/>
    </xf>
    <xf numFmtId="0" fontId="21" fillId="7" borderId="10" xfId="0" applyFont="1" applyFill="1" applyBorder="1" applyAlignment="1">
      <alignment horizontal="left"/>
    </xf>
    <xf numFmtId="0" fontId="21" fillId="7" borderId="11" xfId="0" applyFont="1" applyFill="1" applyBorder="1" applyAlignment="1">
      <alignment horizontal="left"/>
    </xf>
    <xf numFmtId="0" fontId="21" fillId="7" borderId="12" xfId="0" applyFont="1" applyFill="1" applyBorder="1" applyAlignment="1">
      <alignment horizontal="left"/>
    </xf>
    <xf numFmtId="0" fontId="21" fillId="9" borderId="10" xfId="0" applyFont="1" applyFill="1" applyBorder="1" applyAlignment="1">
      <alignment horizontal="left"/>
    </xf>
    <xf numFmtId="0" fontId="21" fillId="9" borderId="11" xfId="0" applyFont="1" applyFill="1" applyBorder="1" applyAlignment="1">
      <alignment horizontal="left"/>
    </xf>
    <xf numFmtId="0" fontId="21" fillId="9" borderId="12" xfId="0" applyFont="1" applyFill="1" applyBorder="1" applyAlignment="1">
      <alignment horizontal="left"/>
    </xf>
    <xf numFmtId="0" fontId="24" fillId="8" borderId="13" xfId="0" applyFont="1" applyFill="1" applyBorder="1" applyAlignment="1">
      <alignment horizontal="center" vertical="center"/>
    </xf>
  </cellXfs>
  <cellStyles count="3">
    <cellStyle name="Normal" xfId="0" builtinId="0"/>
    <cellStyle name="Título 1 1" xfId="1" xr:uid="{00000000-0005-0000-0000-000006000000}"/>
    <cellStyle name="Título 1 1 1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53735"/>
      <rgbColor rgb="FFFDEADA"/>
      <rgbColor rgb="FFF2F2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79646"/>
      <rgbColor rgb="FFD5581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63252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SA_COSAD_DICOM_NUGEC\CONTRATOS\Planilhas%20de%20custos\PLANILHA%20DE%20CUSTOS%20-%20VIGILANCIA%20-%202991-2024-69%20-%20Atualizada%20com%20pesquisa%20de%20mercado%20e%20intrajornada%20no%20posto%20noturno.xlsx" TargetMode="External"/><Relationship Id="rId1" Type="http://schemas.openxmlformats.org/officeDocument/2006/relationships/externalLinkPath" Target="/SA_COSAD_DICOM_NUGEC/CONTRATOS/Planilhas%20de%20custos/PLANILHA%20DE%20CUSTOS%20-%20VIGILANCIA%20-%202991-2024-69%20-%20Atualizada%20com%20pesquisa%20de%20mercado%20e%20intrajornada%20no%20posto%20notu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ERÇÃO-DE-DADOS"/>
      <sheetName val="DADOS-ESTATISTICOS"/>
      <sheetName val="ENCARGOS-SOCIAIS-E-TRABALHISTAS"/>
      <sheetName val="POSTO 12x36 HORAS - DIURNO"/>
      <sheetName val="POSTO 12x36 HORAS - NOTURNO"/>
      <sheetName val="POSTO 44 HORAS"/>
      <sheetName val="SUPERVISÃO 44 HORAS"/>
      <sheetName val="QUADRO-RESUMO"/>
      <sheetName val="LIMITES-SE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11"/>
  <sheetViews>
    <sheetView tabSelected="1" zoomScaleNormal="100" workbookViewId="0">
      <selection activeCell="C124" sqref="C124"/>
    </sheetView>
  </sheetViews>
  <sheetFormatPr defaultColWidth="9.140625" defaultRowHeight="16.5" x14ac:dyDescent="0.3"/>
  <cols>
    <col min="1" max="1" width="2.7109375" style="4" customWidth="1"/>
    <col min="2" max="2" width="8.85546875" style="4" customWidth="1"/>
    <col min="3" max="3" width="60.28515625" style="4" customWidth="1"/>
    <col min="4" max="4" width="9.5703125" style="4" customWidth="1"/>
    <col min="5" max="5" width="13.5703125" style="4" customWidth="1"/>
    <col min="6" max="6" width="15.42578125" style="4" customWidth="1"/>
    <col min="7" max="1024" width="9.140625" style="4"/>
  </cols>
  <sheetData>
    <row r="1" spans="2:6" ht="20.25" x14ac:dyDescent="0.35">
      <c r="B1" s="123" t="s">
        <v>0</v>
      </c>
      <c r="C1" s="123"/>
      <c r="D1" s="123"/>
      <c r="E1" s="123"/>
      <c r="F1" s="123"/>
    </row>
    <row r="2" spans="2:6" ht="20.25" x14ac:dyDescent="0.35">
      <c r="B2" s="123" t="s">
        <v>1</v>
      </c>
      <c r="C2" s="123"/>
      <c r="D2" s="123"/>
      <c r="E2" s="5" t="s">
        <v>2</v>
      </c>
      <c r="F2" s="102">
        <v>45702</v>
      </c>
    </row>
    <row r="3" spans="2:6" x14ac:dyDescent="0.3">
      <c r="B3" s="6"/>
      <c r="C3" s="6"/>
      <c r="D3" s="6"/>
      <c r="E3" s="6"/>
      <c r="F3" s="6"/>
    </row>
    <row r="4" spans="2:6" s="6" customFormat="1" ht="25.5" x14ac:dyDescent="0.5">
      <c r="B4" s="124" t="s">
        <v>3</v>
      </c>
      <c r="C4" s="124"/>
      <c r="D4" s="124"/>
      <c r="E4" s="124"/>
      <c r="F4" s="124"/>
    </row>
    <row r="5" spans="2:6" s="6" customFormat="1" ht="15.95" customHeight="1" x14ac:dyDescent="0.3">
      <c r="B5" s="125" t="s">
        <v>4</v>
      </c>
      <c r="C5" s="125"/>
      <c r="D5" s="125"/>
      <c r="E5" s="125"/>
      <c r="F5" s="125"/>
    </row>
    <row r="6" spans="2:6" s="6" customFormat="1" ht="15.95" customHeight="1" x14ac:dyDescent="0.3">
      <c r="B6" s="126" t="s">
        <v>5</v>
      </c>
      <c r="C6" s="126"/>
      <c r="D6" s="127" t="s">
        <v>6</v>
      </c>
      <c r="E6" s="127"/>
      <c r="F6" s="127"/>
    </row>
    <row r="7" spans="2:6" s="6" customFormat="1" ht="15.75" customHeight="1" x14ac:dyDescent="0.3">
      <c r="B7" s="128" t="s">
        <v>7</v>
      </c>
      <c r="C7" s="128"/>
      <c r="D7" s="129" t="s">
        <v>8</v>
      </c>
      <c r="E7" s="129"/>
      <c r="F7" s="2" t="s">
        <v>9</v>
      </c>
    </row>
    <row r="8" spans="2:6" s="6" customFormat="1" ht="15.75" customHeight="1" x14ac:dyDescent="0.3">
      <c r="B8" s="126" t="s">
        <v>10</v>
      </c>
      <c r="C8" s="126"/>
      <c r="D8" s="130" t="s">
        <v>11</v>
      </c>
      <c r="E8" s="130"/>
      <c r="F8" s="2" t="s">
        <v>12</v>
      </c>
    </row>
    <row r="9" spans="2:6" s="6" customFormat="1" ht="9.75" customHeight="1" x14ac:dyDescent="0.3">
      <c r="C9" s="7"/>
      <c r="D9" s="8"/>
      <c r="E9" s="8"/>
      <c r="F9" s="9"/>
    </row>
    <row r="10" spans="2:6" s="6" customFormat="1" ht="15.75" customHeight="1" x14ac:dyDescent="0.3">
      <c r="B10" s="125" t="s">
        <v>13</v>
      </c>
      <c r="C10" s="125"/>
      <c r="D10" s="125"/>
      <c r="E10" s="125"/>
      <c r="F10" s="125"/>
    </row>
    <row r="11" spans="2:6" s="6" customFormat="1" ht="18" customHeight="1" x14ac:dyDescent="0.3">
      <c r="B11" s="10" t="s">
        <v>14</v>
      </c>
      <c r="C11" s="126" t="s">
        <v>15</v>
      </c>
      <c r="D11" s="126"/>
      <c r="E11" s="126"/>
      <c r="F11" s="11" t="s">
        <v>11</v>
      </c>
    </row>
    <row r="12" spans="2:6" s="6" customFormat="1" ht="15.95" customHeight="1" x14ac:dyDescent="0.15">
      <c r="B12" s="12" t="s">
        <v>16</v>
      </c>
      <c r="C12" s="13" t="s">
        <v>17</v>
      </c>
      <c r="D12" s="131" t="s">
        <v>18</v>
      </c>
      <c r="E12" s="131"/>
      <c r="F12" s="131"/>
    </row>
    <row r="13" spans="2:6" s="6" customFormat="1" ht="15.95" customHeight="1" x14ac:dyDescent="0.3">
      <c r="B13" s="10" t="s">
        <v>19</v>
      </c>
      <c r="C13" s="126" t="s">
        <v>20</v>
      </c>
      <c r="D13" s="126"/>
      <c r="E13" s="126"/>
      <c r="F13" s="14" t="s">
        <v>21</v>
      </c>
    </row>
    <row r="14" spans="2:6" s="6" customFormat="1" ht="18.75" customHeight="1" x14ac:dyDescent="0.3">
      <c r="B14" s="12" t="s">
        <v>22</v>
      </c>
      <c r="C14" s="132" t="s">
        <v>23</v>
      </c>
      <c r="D14" s="132"/>
      <c r="E14" s="132"/>
      <c r="F14" s="2" t="s">
        <v>24</v>
      </c>
    </row>
    <row r="15" spans="2:6" s="6" customFormat="1" ht="15.95" customHeight="1" x14ac:dyDescent="0.3">
      <c r="B15" s="12" t="s">
        <v>25</v>
      </c>
      <c r="C15" s="126" t="s">
        <v>26</v>
      </c>
      <c r="D15" s="126"/>
      <c r="E15" s="126"/>
      <c r="F15" s="15">
        <v>12</v>
      </c>
    </row>
    <row r="16" spans="2:6" s="6" customFormat="1" ht="15.95" customHeight="1" x14ac:dyDescent="0.3">
      <c r="C16" s="7"/>
      <c r="D16" s="8"/>
      <c r="E16" s="8"/>
      <c r="F16" s="9"/>
    </row>
    <row r="17" spans="2:6" s="6" customFormat="1" x14ac:dyDescent="0.3">
      <c r="B17" s="125" t="s">
        <v>27</v>
      </c>
      <c r="C17" s="125"/>
      <c r="D17" s="125"/>
      <c r="E17" s="125"/>
      <c r="F17" s="125"/>
    </row>
    <row r="18" spans="2:6" s="16" customFormat="1" ht="49.5" x14ac:dyDescent="0.2">
      <c r="B18" s="17" t="s">
        <v>28</v>
      </c>
      <c r="C18" s="17" t="s">
        <v>29</v>
      </c>
      <c r="D18" s="18" t="s">
        <v>30</v>
      </c>
      <c r="E18" s="18" t="s">
        <v>31</v>
      </c>
      <c r="F18" s="18" t="s">
        <v>32</v>
      </c>
    </row>
    <row r="19" spans="2:6" s="6" customFormat="1" ht="16.5" customHeight="1" x14ac:dyDescent="0.3">
      <c r="B19" s="10">
        <v>1</v>
      </c>
      <c r="C19" s="19" t="s">
        <v>33</v>
      </c>
      <c r="D19" s="20" t="s">
        <v>34</v>
      </c>
      <c r="E19" s="21">
        <v>1</v>
      </c>
      <c r="F19" s="20">
        <v>32</v>
      </c>
    </row>
    <row r="20" spans="2:6" s="6" customFormat="1" ht="16.5" customHeight="1" x14ac:dyDescent="0.3">
      <c r="B20" s="10">
        <v>2</v>
      </c>
      <c r="C20" s="22" t="s">
        <v>35</v>
      </c>
      <c r="D20" s="20" t="s">
        <v>34</v>
      </c>
      <c r="E20" s="21">
        <v>1</v>
      </c>
      <c r="F20" s="20">
        <v>3</v>
      </c>
    </row>
    <row r="21" spans="2:6" s="6" customFormat="1" ht="16.5" customHeight="1" x14ac:dyDescent="0.3">
      <c r="B21" s="10">
        <v>3</v>
      </c>
      <c r="C21" s="22" t="s">
        <v>36</v>
      </c>
      <c r="D21" s="20" t="s">
        <v>34</v>
      </c>
      <c r="E21" s="21">
        <v>1</v>
      </c>
      <c r="F21" s="20">
        <v>2</v>
      </c>
    </row>
    <row r="22" spans="2:6" s="6" customFormat="1" ht="16.5" customHeight="1" x14ac:dyDescent="0.3">
      <c r="B22" s="10">
        <v>4</v>
      </c>
      <c r="C22" s="22" t="s">
        <v>37</v>
      </c>
      <c r="D22" s="20" t="s">
        <v>34</v>
      </c>
      <c r="E22" s="21">
        <v>1</v>
      </c>
      <c r="F22" s="20">
        <v>1</v>
      </c>
    </row>
    <row r="23" spans="2:6" s="6" customFormat="1" ht="16.5" customHeight="1" x14ac:dyDescent="0.3">
      <c r="B23" s="10">
        <v>5</v>
      </c>
      <c r="C23" s="22" t="s">
        <v>38</v>
      </c>
      <c r="D23" s="20" t="s">
        <v>34</v>
      </c>
      <c r="E23" s="21">
        <v>1</v>
      </c>
      <c r="F23" s="20">
        <v>2</v>
      </c>
    </row>
    <row r="24" spans="2:6" s="6" customFormat="1" ht="16.5" customHeight="1" x14ac:dyDescent="0.3">
      <c r="B24" s="10">
        <v>6</v>
      </c>
      <c r="C24" s="22" t="s">
        <v>39</v>
      </c>
      <c r="D24" s="20" t="s">
        <v>34</v>
      </c>
      <c r="E24" s="21">
        <v>1</v>
      </c>
      <c r="F24" s="20">
        <v>1</v>
      </c>
    </row>
    <row r="25" spans="2:6" s="6" customFormat="1" ht="16.5" customHeight="1" x14ac:dyDescent="0.3">
      <c r="B25" s="10">
        <v>7</v>
      </c>
      <c r="C25" s="22" t="s">
        <v>40</v>
      </c>
      <c r="D25" s="20" t="s">
        <v>34</v>
      </c>
      <c r="E25" s="21">
        <v>1</v>
      </c>
      <c r="F25" s="20">
        <v>3</v>
      </c>
    </row>
    <row r="26" spans="2:6" s="6" customFormat="1" ht="16.5" customHeight="1" x14ac:dyDescent="0.3">
      <c r="B26" s="10"/>
      <c r="C26" s="22" t="s">
        <v>41</v>
      </c>
      <c r="D26" s="20"/>
      <c r="E26" s="20">
        <f>SUM(E19:E25)</f>
        <v>7</v>
      </c>
      <c r="F26" s="20">
        <f>SUM(F19:F25)</f>
        <v>44</v>
      </c>
    </row>
    <row r="27" spans="2:6" s="6" customFormat="1" ht="15.95" customHeight="1" x14ac:dyDescent="0.3">
      <c r="B27" s="23"/>
      <c r="C27" s="23"/>
      <c r="D27" s="23"/>
      <c r="E27" s="23"/>
      <c r="F27" s="23"/>
    </row>
    <row r="28" spans="2:6" s="6" customFormat="1" ht="15" customHeight="1" x14ac:dyDescent="0.3">
      <c r="B28" s="125" t="s">
        <v>42</v>
      </c>
      <c r="C28" s="125"/>
      <c r="D28" s="125"/>
      <c r="E28" s="125"/>
      <c r="F28" s="125"/>
    </row>
    <row r="29" spans="2:6" s="6" customFormat="1" ht="15" customHeight="1" x14ac:dyDescent="0.3">
      <c r="B29" s="10" t="s">
        <v>43</v>
      </c>
      <c r="C29" s="24" t="s">
        <v>44</v>
      </c>
      <c r="D29" s="127" t="s">
        <v>45</v>
      </c>
      <c r="E29" s="127"/>
      <c r="F29" s="127"/>
    </row>
    <row r="30" spans="2:6" s="6" customFormat="1" ht="15" customHeight="1" x14ac:dyDescent="0.3">
      <c r="B30" s="10" t="s">
        <v>46</v>
      </c>
      <c r="C30" s="24" t="s">
        <v>47</v>
      </c>
      <c r="D30" s="127" t="s">
        <v>48</v>
      </c>
      <c r="E30" s="127"/>
      <c r="F30" s="127"/>
    </row>
    <row r="31" spans="2:6" s="6" customFormat="1" ht="15" customHeight="1" x14ac:dyDescent="0.3">
      <c r="B31" s="10" t="s">
        <v>49</v>
      </c>
      <c r="C31" s="24" t="s">
        <v>50</v>
      </c>
      <c r="D31" s="127" t="s">
        <v>51</v>
      </c>
      <c r="E31" s="127"/>
      <c r="F31" s="127"/>
    </row>
    <row r="32" spans="2:6" s="6" customFormat="1" ht="15" customHeight="1" x14ac:dyDescent="0.3">
      <c r="B32" s="10" t="s">
        <v>52</v>
      </c>
      <c r="C32" s="24" t="s">
        <v>53</v>
      </c>
      <c r="D32" s="127" t="s">
        <v>54</v>
      </c>
      <c r="E32" s="127"/>
      <c r="F32" s="127"/>
    </row>
    <row r="33" spans="2:6" s="6" customFormat="1" ht="15" customHeight="1" x14ac:dyDescent="0.3">
      <c r="B33" s="10" t="s">
        <v>55</v>
      </c>
      <c r="C33" s="24" t="s">
        <v>56</v>
      </c>
      <c r="D33" s="127" t="s">
        <v>57</v>
      </c>
      <c r="E33" s="127"/>
      <c r="F33" s="127"/>
    </row>
    <row r="34" spans="2:6" s="6" customFormat="1" ht="15" customHeight="1" x14ac:dyDescent="0.3">
      <c r="B34" s="10" t="s">
        <v>58</v>
      </c>
      <c r="C34" s="24" t="s">
        <v>59</v>
      </c>
      <c r="D34" s="127" t="s">
        <v>60</v>
      </c>
      <c r="E34" s="127"/>
      <c r="F34" s="127"/>
    </row>
    <row r="35" spans="2:6" s="6" customFormat="1" ht="15" customHeight="1" x14ac:dyDescent="0.3">
      <c r="B35" s="10" t="s">
        <v>61</v>
      </c>
      <c r="C35" s="24" t="s">
        <v>62</v>
      </c>
      <c r="D35" s="127" t="s">
        <v>63</v>
      </c>
      <c r="E35" s="127"/>
      <c r="F35" s="127"/>
    </row>
    <row r="36" spans="2:6" s="6" customFormat="1" ht="15.95" customHeight="1" x14ac:dyDescent="0.3">
      <c r="B36" s="10">
        <v>2</v>
      </c>
      <c r="C36" s="25" t="s">
        <v>64</v>
      </c>
      <c r="D36" s="127" t="s">
        <v>65</v>
      </c>
      <c r="E36" s="127"/>
      <c r="F36" s="127"/>
    </row>
    <row r="37" spans="2:6" s="6" customFormat="1" ht="15.95" customHeight="1" x14ac:dyDescent="0.3">
      <c r="B37" s="10">
        <v>3</v>
      </c>
      <c r="C37" s="126" t="s">
        <v>66</v>
      </c>
      <c r="D37" s="126"/>
      <c r="E37" s="126"/>
      <c r="F37" s="11">
        <v>45658</v>
      </c>
    </row>
    <row r="38" spans="2:6" s="6" customFormat="1" ht="15.95" customHeight="1" x14ac:dyDescent="0.3">
      <c r="B38" s="10">
        <v>4</v>
      </c>
      <c r="C38" s="128" t="s">
        <v>67</v>
      </c>
      <c r="D38" s="128"/>
      <c r="E38" s="128"/>
      <c r="F38" s="26">
        <v>1518</v>
      </c>
    </row>
    <row r="39" spans="2:6" s="6" customFormat="1" x14ac:dyDescent="0.3">
      <c r="B39" s="27"/>
      <c r="C39" s="28"/>
      <c r="D39" s="28"/>
      <c r="E39" s="28"/>
      <c r="F39" s="29"/>
    </row>
    <row r="40" spans="2:6" s="6" customFormat="1" ht="25.5" x14ac:dyDescent="0.5">
      <c r="B40" s="30" t="s">
        <v>68</v>
      </c>
      <c r="C40" s="4"/>
      <c r="D40" s="4"/>
      <c r="E40" s="4"/>
      <c r="F40" s="4"/>
    </row>
    <row r="41" spans="2:6" x14ac:dyDescent="0.3">
      <c r="B41" s="31" t="s">
        <v>69</v>
      </c>
      <c r="E41" s="32"/>
      <c r="F41" s="32"/>
    </row>
    <row r="42" spans="2:6" ht="16.5" customHeight="1" x14ac:dyDescent="0.3">
      <c r="B42" s="12">
        <v>1</v>
      </c>
      <c r="C42" s="133" t="s">
        <v>70</v>
      </c>
      <c r="D42" s="133"/>
      <c r="E42" s="133"/>
      <c r="F42" s="33" t="s">
        <v>71</v>
      </c>
    </row>
    <row r="43" spans="2:6" ht="16.5" customHeight="1" x14ac:dyDescent="0.3">
      <c r="B43" s="12" t="s">
        <v>72</v>
      </c>
      <c r="C43" s="134" t="s">
        <v>73</v>
      </c>
      <c r="D43" s="134"/>
      <c r="E43" s="134"/>
      <c r="F43" s="34">
        <v>2574.38</v>
      </c>
    </row>
    <row r="44" spans="2:6" ht="16.5" customHeight="1" x14ac:dyDescent="0.3">
      <c r="B44" s="12" t="s">
        <v>74</v>
      </c>
      <c r="C44" s="134" t="s">
        <v>75</v>
      </c>
      <c r="D44" s="134"/>
      <c r="E44" s="134"/>
      <c r="F44" s="34">
        <v>1743.69</v>
      </c>
    </row>
    <row r="45" spans="2:6" ht="16.5" customHeight="1" x14ac:dyDescent="0.3">
      <c r="B45" s="12" t="s">
        <v>76</v>
      </c>
      <c r="C45" s="134" t="s">
        <v>77</v>
      </c>
      <c r="D45" s="134"/>
      <c r="E45" s="134"/>
      <c r="F45" s="34">
        <v>1743.69</v>
      </c>
    </row>
    <row r="46" spans="2:6" ht="16.5" customHeight="1" x14ac:dyDescent="0.3">
      <c r="B46" s="12" t="s">
        <v>78</v>
      </c>
      <c r="C46" s="134" t="s">
        <v>79</v>
      </c>
      <c r="D46" s="134"/>
      <c r="E46" s="134"/>
      <c r="F46" s="34">
        <v>4220.33</v>
      </c>
    </row>
    <row r="47" spans="2:6" ht="16.5" customHeight="1" x14ac:dyDescent="0.3">
      <c r="B47" s="12" t="s">
        <v>80</v>
      </c>
      <c r="C47" s="134" t="s">
        <v>81</v>
      </c>
      <c r="D47" s="134"/>
      <c r="E47" s="134"/>
      <c r="F47" s="34">
        <v>2574.37</v>
      </c>
    </row>
    <row r="48" spans="2:6" ht="16.5" customHeight="1" x14ac:dyDescent="0.3">
      <c r="B48" s="12" t="s">
        <v>82</v>
      </c>
      <c r="C48" s="134" t="s">
        <v>83</v>
      </c>
      <c r="D48" s="134"/>
      <c r="E48" s="134"/>
      <c r="F48" s="34">
        <v>1743.69</v>
      </c>
    </row>
    <row r="49" spans="1:6" ht="16.5" customHeight="1" x14ac:dyDescent="0.3">
      <c r="B49" s="12" t="s">
        <v>84</v>
      </c>
      <c r="C49" s="134" t="s">
        <v>85</v>
      </c>
      <c r="D49" s="134"/>
      <c r="E49" s="134"/>
      <c r="F49" s="34">
        <v>2574.37</v>
      </c>
    </row>
    <row r="50" spans="1:6" ht="16.5" customHeight="1" x14ac:dyDescent="0.3">
      <c r="B50" s="12" t="s">
        <v>16</v>
      </c>
      <c r="C50" s="132" t="s">
        <v>86</v>
      </c>
      <c r="D50" s="132"/>
      <c r="E50" s="132"/>
      <c r="F50" s="35"/>
    </row>
    <row r="51" spans="1:6" ht="16.5" customHeight="1" x14ac:dyDescent="0.3">
      <c r="B51" s="12" t="s">
        <v>19</v>
      </c>
      <c r="C51" s="134" t="s">
        <v>87</v>
      </c>
      <c r="D51" s="134"/>
      <c r="E51" s="134"/>
      <c r="F51" s="35"/>
    </row>
    <row r="52" spans="1:6" ht="16.5" customHeight="1" x14ac:dyDescent="0.3">
      <c r="B52" s="12" t="s">
        <v>22</v>
      </c>
      <c r="C52" s="135" t="s">
        <v>88</v>
      </c>
      <c r="D52" s="135"/>
      <c r="E52" s="135"/>
      <c r="F52" s="35"/>
    </row>
    <row r="53" spans="1:6" ht="16.5" customHeight="1" x14ac:dyDescent="0.3">
      <c r="B53" s="12" t="s">
        <v>25</v>
      </c>
      <c r="C53" s="136" t="s">
        <v>89</v>
      </c>
      <c r="D53" s="136"/>
      <c r="E53" s="136"/>
      <c r="F53" s="34"/>
    </row>
    <row r="54" spans="1:6" ht="16.5" customHeight="1" x14ac:dyDescent="0.3">
      <c r="B54" s="12" t="s">
        <v>90</v>
      </c>
      <c r="C54" s="136" t="s">
        <v>91</v>
      </c>
      <c r="D54" s="136"/>
      <c r="E54" s="136"/>
      <c r="F54" s="34"/>
    </row>
    <row r="55" spans="1:6" ht="16.5" customHeight="1" x14ac:dyDescent="0.3">
      <c r="B55" s="12" t="s">
        <v>92</v>
      </c>
      <c r="C55" s="136" t="s">
        <v>93</v>
      </c>
      <c r="D55" s="136"/>
      <c r="E55" s="136"/>
      <c r="F55" s="34"/>
    </row>
    <row r="56" spans="1:6" s="36" customFormat="1" x14ac:dyDescent="0.3"/>
    <row r="57" spans="1:6" s="36" customFormat="1" x14ac:dyDescent="0.3">
      <c r="A57" s="4"/>
      <c r="B57" s="31" t="s">
        <v>94</v>
      </c>
      <c r="C57" s="4"/>
      <c r="D57" s="4"/>
      <c r="E57" s="37"/>
      <c r="F57" s="37"/>
    </row>
    <row r="58" spans="1:6" s="36" customFormat="1" x14ac:dyDescent="0.3">
      <c r="A58" s="4"/>
      <c r="B58" s="31" t="s">
        <v>95</v>
      </c>
      <c r="C58" s="6"/>
      <c r="D58" s="6"/>
      <c r="E58" s="6"/>
      <c r="F58" s="6"/>
    </row>
    <row r="59" spans="1:6" s="36" customFormat="1" ht="15" customHeight="1" x14ac:dyDescent="0.3">
      <c r="A59" s="4"/>
      <c r="B59" s="12" t="s">
        <v>96</v>
      </c>
      <c r="C59" s="133" t="s">
        <v>97</v>
      </c>
      <c r="D59" s="133"/>
      <c r="E59" s="33" t="s">
        <v>98</v>
      </c>
      <c r="F59" s="33" t="s">
        <v>99</v>
      </c>
    </row>
    <row r="60" spans="1:6" s="36" customFormat="1" x14ac:dyDescent="0.3">
      <c r="A60" s="4"/>
      <c r="B60" s="38" t="s">
        <v>14</v>
      </c>
      <c r="C60" s="126" t="s">
        <v>100</v>
      </c>
      <c r="D60" s="126"/>
      <c r="E60" s="15" t="s">
        <v>101</v>
      </c>
      <c r="F60" s="39">
        <v>11</v>
      </c>
    </row>
    <row r="61" spans="1:6" s="36" customFormat="1" x14ac:dyDescent="0.3">
      <c r="B61" s="38" t="s">
        <v>16</v>
      </c>
      <c r="C61" s="128" t="s">
        <v>102</v>
      </c>
      <c r="D61" s="128"/>
      <c r="E61" s="40" t="s">
        <v>101</v>
      </c>
      <c r="F61" s="39">
        <v>44.3</v>
      </c>
    </row>
    <row r="62" spans="1:6" s="36" customFormat="1" x14ac:dyDescent="0.3">
      <c r="B62" s="38" t="s">
        <v>19</v>
      </c>
      <c r="C62" s="126" t="s">
        <v>103</v>
      </c>
      <c r="D62" s="126"/>
      <c r="E62" s="15" t="s">
        <v>104</v>
      </c>
      <c r="F62" s="41">
        <v>22</v>
      </c>
    </row>
    <row r="63" spans="1:6" ht="16.5" customHeight="1" x14ac:dyDescent="0.3">
      <c r="B63" s="38" t="s">
        <v>22</v>
      </c>
      <c r="C63" s="136" t="s">
        <v>105</v>
      </c>
      <c r="D63" s="136"/>
      <c r="E63" s="42" t="s">
        <v>104</v>
      </c>
      <c r="F63" s="34">
        <v>3.61</v>
      </c>
    </row>
    <row r="64" spans="1:6" ht="16.5" customHeight="1" x14ac:dyDescent="0.3">
      <c r="B64" s="38" t="s">
        <v>25</v>
      </c>
      <c r="C64" s="136" t="s">
        <v>106</v>
      </c>
      <c r="D64" s="136"/>
      <c r="E64" s="42"/>
      <c r="F64" s="34"/>
    </row>
    <row r="65" spans="1:6" ht="16.5" customHeight="1" x14ac:dyDescent="0.3">
      <c r="B65" s="38" t="s">
        <v>90</v>
      </c>
      <c r="C65" s="136" t="s">
        <v>107</v>
      </c>
      <c r="D65" s="136"/>
      <c r="E65" s="42"/>
      <c r="F65" s="34"/>
    </row>
    <row r="66" spans="1:6" s="36" customFormat="1" x14ac:dyDescent="0.3"/>
    <row r="67" spans="1:6" s="6" customFormat="1" x14ac:dyDescent="0.3">
      <c r="B67" s="31" t="s">
        <v>108</v>
      </c>
      <c r="C67" s="43"/>
      <c r="D67" s="44"/>
      <c r="E67" s="4"/>
      <c r="F67" s="4"/>
    </row>
    <row r="68" spans="1:6" s="6" customFormat="1" ht="15" customHeight="1" x14ac:dyDescent="0.3">
      <c r="B68" s="31" t="s">
        <v>109</v>
      </c>
      <c r="C68" s="43"/>
      <c r="D68" s="44"/>
      <c r="E68" s="45"/>
      <c r="F68" s="45"/>
    </row>
    <row r="69" spans="1:6" ht="16.5" customHeight="1" x14ac:dyDescent="0.3">
      <c r="A69" s="6"/>
      <c r="B69" s="12" t="s">
        <v>110</v>
      </c>
      <c r="C69" s="133" t="s">
        <v>111</v>
      </c>
      <c r="D69" s="133"/>
      <c r="E69" s="133"/>
      <c r="F69" s="33" t="s">
        <v>112</v>
      </c>
    </row>
    <row r="70" spans="1:6" s="36" customFormat="1" ht="16.5" customHeight="1" x14ac:dyDescent="0.3">
      <c r="B70" s="33" t="s">
        <v>14</v>
      </c>
      <c r="C70" s="137" t="s">
        <v>113</v>
      </c>
      <c r="D70" s="137"/>
      <c r="E70" s="137"/>
      <c r="F70" s="39"/>
    </row>
    <row r="71" spans="1:6" x14ac:dyDescent="0.3">
      <c r="B71" s="36"/>
      <c r="C71" s="36"/>
      <c r="D71" s="36"/>
      <c r="E71" s="36"/>
      <c r="F71" s="36"/>
    </row>
    <row r="72" spans="1:6" x14ac:dyDescent="0.3">
      <c r="B72" s="31" t="s">
        <v>114</v>
      </c>
      <c r="C72" s="43"/>
      <c r="D72" s="44"/>
      <c r="E72" s="45"/>
      <c r="F72" s="45"/>
    </row>
    <row r="73" spans="1:6" x14ac:dyDescent="0.3">
      <c r="B73" s="12" t="s">
        <v>115</v>
      </c>
      <c r="C73" s="138" t="s">
        <v>116</v>
      </c>
      <c r="D73" s="138"/>
      <c r="E73" s="138"/>
      <c r="F73" s="33" t="s">
        <v>117</v>
      </c>
    </row>
    <row r="74" spans="1:6" ht="15" customHeight="1" x14ac:dyDescent="0.3">
      <c r="B74" s="12" t="s">
        <v>14</v>
      </c>
      <c r="C74" s="134" t="s">
        <v>118</v>
      </c>
      <c r="D74" s="134"/>
      <c r="E74" s="134"/>
      <c r="F74" s="35"/>
    </row>
    <row r="75" spans="1:6" s="36" customFormat="1" ht="16.5" customHeight="1" x14ac:dyDescent="0.3">
      <c r="B75" s="12" t="s">
        <v>16</v>
      </c>
      <c r="C75" s="132" t="s">
        <v>119</v>
      </c>
      <c r="D75" s="132"/>
      <c r="E75" s="132"/>
      <c r="F75" s="35"/>
    </row>
    <row r="76" spans="1:6" x14ac:dyDescent="0.3">
      <c r="B76" s="36"/>
      <c r="C76" s="36"/>
      <c r="D76" s="36"/>
      <c r="E76" s="36"/>
      <c r="F76" s="36"/>
    </row>
    <row r="77" spans="1:6" ht="15.75" customHeight="1" x14ac:dyDescent="0.3">
      <c r="B77" s="31" t="s">
        <v>120</v>
      </c>
      <c r="C77" s="43"/>
      <c r="D77" s="43"/>
      <c r="E77" s="45"/>
      <c r="F77" s="45"/>
    </row>
    <row r="78" spans="1:6" ht="16.5" customHeight="1" x14ac:dyDescent="0.3">
      <c r="B78" s="46">
        <v>5</v>
      </c>
      <c r="C78" s="139" t="s">
        <v>121</v>
      </c>
      <c r="D78" s="139"/>
      <c r="E78" s="139"/>
      <c r="F78" s="47" t="s">
        <v>122</v>
      </c>
    </row>
    <row r="79" spans="1:6" ht="16.5" customHeight="1" x14ac:dyDescent="0.3">
      <c r="B79" s="48" t="s">
        <v>72</v>
      </c>
      <c r="C79" s="140" t="s">
        <v>123</v>
      </c>
      <c r="D79" s="140"/>
      <c r="E79" s="140"/>
      <c r="F79" s="49">
        <v>195.57</v>
      </c>
    </row>
    <row r="80" spans="1:6" ht="16.5" customHeight="1" x14ac:dyDescent="0.3">
      <c r="B80" s="48" t="s">
        <v>74</v>
      </c>
      <c r="C80" s="140" t="s">
        <v>124</v>
      </c>
      <c r="D80" s="140"/>
      <c r="E80" s="140"/>
      <c r="F80" s="49">
        <v>64.44</v>
      </c>
    </row>
    <row r="81" spans="1:6" ht="16.5" customHeight="1" x14ac:dyDescent="0.3">
      <c r="B81" s="48" t="s">
        <v>76</v>
      </c>
      <c r="C81" s="140" t="s">
        <v>125</v>
      </c>
      <c r="D81" s="140"/>
      <c r="E81" s="140"/>
      <c r="F81" s="49">
        <v>108.43</v>
      </c>
    </row>
    <row r="82" spans="1:6" ht="16.5" customHeight="1" x14ac:dyDescent="0.3">
      <c r="B82" s="48" t="s">
        <v>78</v>
      </c>
      <c r="C82" s="140" t="s">
        <v>126</v>
      </c>
      <c r="D82" s="140"/>
      <c r="E82" s="140"/>
      <c r="F82" s="49">
        <v>181.86</v>
      </c>
    </row>
    <row r="83" spans="1:6" ht="16.5" customHeight="1" x14ac:dyDescent="0.3">
      <c r="B83" s="48" t="s">
        <v>80</v>
      </c>
      <c r="C83" s="140" t="s">
        <v>127</v>
      </c>
      <c r="D83" s="140"/>
      <c r="E83" s="140"/>
      <c r="F83" s="49">
        <v>199.92</v>
      </c>
    </row>
    <row r="84" spans="1:6" ht="16.5" customHeight="1" x14ac:dyDescent="0.3">
      <c r="B84" s="48" t="s">
        <v>82</v>
      </c>
      <c r="C84" s="140" t="s">
        <v>128</v>
      </c>
      <c r="D84" s="140"/>
      <c r="E84" s="140"/>
      <c r="F84" s="49">
        <v>181.86</v>
      </c>
    </row>
    <row r="85" spans="1:6" ht="16.5" customHeight="1" x14ac:dyDescent="0.3">
      <c r="B85" s="48" t="s">
        <v>84</v>
      </c>
      <c r="C85" s="140" t="s">
        <v>129</v>
      </c>
      <c r="D85" s="140"/>
      <c r="E85" s="140"/>
      <c r="F85" s="49">
        <v>181.86</v>
      </c>
    </row>
    <row r="86" spans="1:6" s="50" customFormat="1" ht="16.5" customHeight="1" x14ac:dyDescent="0.3">
      <c r="A86" s="4"/>
      <c r="B86" s="48" t="s">
        <v>130</v>
      </c>
      <c r="C86" s="141" t="s">
        <v>131</v>
      </c>
      <c r="D86" s="141"/>
      <c r="E86" s="141"/>
      <c r="F86" s="49">
        <v>0</v>
      </c>
    </row>
    <row r="87" spans="1:6" s="50" customFormat="1" ht="16.5" customHeight="1" x14ac:dyDescent="0.3">
      <c r="A87" s="4"/>
      <c r="B87" s="48" t="s">
        <v>132</v>
      </c>
      <c r="C87" s="141" t="s">
        <v>133</v>
      </c>
      <c r="D87" s="141"/>
      <c r="E87" s="141"/>
      <c r="F87" s="49">
        <v>0</v>
      </c>
    </row>
    <row r="88" spans="1:6" s="50" customFormat="1" ht="16.5" customHeight="1" x14ac:dyDescent="0.3">
      <c r="A88" s="4"/>
      <c r="B88" s="48" t="s">
        <v>134</v>
      </c>
      <c r="C88" s="141" t="s">
        <v>135</v>
      </c>
      <c r="D88" s="141"/>
      <c r="E88" s="141"/>
      <c r="F88" s="49">
        <v>472.94</v>
      </c>
    </row>
    <row r="89" spans="1:6" s="50" customFormat="1" ht="16.5" customHeight="1" x14ac:dyDescent="0.3">
      <c r="A89" s="4"/>
      <c r="B89" s="48" t="s">
        <v>136</v>
      </c>
      <c r="C89" s="141" t="s">
        <v>137</v>
      </c>
      <c r="D89" s="141"/>
      <c r="E89" s="141"/>
      <c r="F89" s="49">
        <v>0</v>
      </c>
    </row>
    <row r="90" spans="1:6" s="50" customFormat="1" ht="16.5" customHeight="1" x14ac:dyDescent="0.3">
      <c r="A90" s="4"/>
      <c r="B90" s="48" t="s">
        <v>138</v>
      </c>
      <c r="C90" s="141" t="s">
        <v>139</v>
      </c>
      <c r="D90" s="141"/>
      <c r="E90" s="141"/>
      <c r="F90" s="49">
        <v>0</v>
      </c>
    </row>
    <row r="91" spans="1:6" s="50" customFormat="1" ht="16.5" customHeight="1" x14ac:dyDescent="0.3">
      <c r="A91" s="4"/>
      <c r="B91" s="48" t="s">
        <v>140</v>
      </c>
      <c r="C91" s="141" t="s">
        <v>141</v>
      </c>
      <c r="D91" s="141"/>
      <c r="E91" s="141"/>
      <c r="F91" s="49">
        <v>0</v>
      </c>
    </row>
    <row r="92" spans="1:6" s="50" customFormat="1" ht="16.5" customHeight="1" x14ac:dyDescent="0.3">
      <c r="A92" s="4"/>
      <c r="B92" s="48" t="s">
        <v>142</v>
      </c>
      <c r="C92" s="141" t="s">
        <v>143</v>
      </c>
      <c r="D92" s="141"/>
      <c r="E92" s="141"/>
      <c r="F92" s="49">
        <v>0</v>
      </c>
    </row>
    <row r="93" spans="1:6" s="50" customFormat="1" ht="16.5" customHeight="1" x14ac:dyDescent="0.3">
      <c r="A93" s="4"/>
      <c r="B93" s="48" t="s">
        <v>144</v>
      </c>
      <c r="C93" s="140" t="s">
        <v>145</v>
      </c>
      <c r="D93" s="140"/>
      <c r="E93" s="140"/>
      <c r="F93" s="49">
        <v>1.22</v>
      </c>
    </row>
    <row r="94" spans="1:6" s="50" customFormat="1" ht="16.5" customHeight="1" x14ac:dyDescent="0.3">
      <c r="A94" s="4"/>
      <c r="B94" s="48" t="s">
        <v>146</v>
      </c>
      <c r="C94" s="140" t="s">
        <v>147</v>
      </c>
      <c r="D94" s="140"/>
      <c r="E94" s="140"/>
      <c r="F94" s="49">
        <v>1.22</v>
      </c>
    </row>
    <row r="95" spans="1:6" s="50" customFormat="1" ht="16.5" customHeight="1" x14ac:dyDescent="0.3">
      <c r="A95" s="4"/>
      <c r="B95" s="48" t="s">
        <v>148</v>
      </c>
      <c r="C95" s="140" t="s">
        <v>149</v>
      </c>
      <c r="D95" s="140"/>
      <c r="E95" s="140"/>
      <c r="F95" s="49">
        <v>1.22</v>
      </c>
    </row>
    <row r="96" spans="1:6" s="50" customFormat="1" ht="16.5" customHeight="1" x14ac:dyDescent="0.3">
      <c r="A96" s="4"/>
      <c r="B96" s="48" t="s">
        <v>150</v>
      </c>
      <c r="C96" s="140" t="s">
        <v>151</v>
      </c>
      <c r="D96" s="140"/>
      <c r="E96" s="140"/>
      <c r="F96" s="49">
        <v>39.950000000000003</v>
      </c>
    </row>
    <row r="97" spans="1:6" s="50" customFormat="1" ht="16.5" customHeight="1" x14ac:dyDescent="0.3">
      <c r="A97" s="4"/>
      <c r="B97" s="48" t="s">
        <v>152</v>
      </c>
      <c r="C97" s="140" t="s">
        <v>153</v>
      </c>
      <c r="D97" s="140"/>
      <c r="E97" s="140"/>
      <c r="F97" s="49">
        <v>1.22</v>
      </c>
    </row>
    <row r="98" spans="1:6" s="50" customFormat="1" ht="16.5" customHeight="1" x14ac:dyDescent="0.3">
      <c r="A98" s="4"/>
      <c r="B98" s="48" t="s">
        <v>154</v>
      </c>
      <c r="C98" s="140" t="s">
        <v>155</v>
      </c>
      <c r="D98" s="140"/>
      <c r="E98" s="140"/>
      <c r="F98" s="49">
        <v>1.22</v>
      </c>
    </row>
    <row r="99" spans="1:6" s="50" customFormat="1" ht="16.5" customHeight="1" x14ac:dyDescent="0.3">
      <c r="A99" s="4"/>
      <c r="B99" s="48" t="s">
        <v>156</v>
      </c>
      <c r="C99" s="140" t="s">
        <v>157</v>
      </c>
      <c r="D99" s="140"/>
      <c r="E99" s="140"/>
      <c r="F99" s="49">
        <v>1.22</v>
      </c>
    </row>
    <row r="100" spans="1:6" s="36" customFormat="1" ht="16.5" customHeight="1" x14ac:dyDescent="0.3">
      <c r="B100" s="48" t="s">
        <v>22</v>
      </c>
      <c r="C100" s="136" t="s">
        <v>158</v>
      </c>
      <c r="D100" s="136"/>
      <c r="E100" s="136"/>
      <c r="F100" s="34"/>
    </row>
    <row r="101" spans="1:6" s="51" customFormat="1" ht="16.5" customHeight="1" x14ac:dyDescent="0.3">
      <c r="A101" s="4"/>
      <c r="B101" s="36"/>
      <c r="C101" s="36"/>
      <c r="D101" s="36"/>
      <c r="E101" s="36"/>
      <c r="F101" s="36"/>
    </row>
    <row r="102" spans="1:6" s="52" customFormat="1" ht="16.5" customHeight="1" x14ac:dyDescent="0.3">
      <c r="A102" s="4"/>
      <c r="B102" s="142" t="s">
        <v>159</v>
      </c>
      <c r="C102" s="142"/>
      <c r="D102" s="142"/>
      <c r="E102" s="142"/>
      <c r="F102" s="142"/>
    </row>
    <row r="103" spans="1:6" s="52" customFormat="1" x14ac:dyDescent="0.3">
      <c r="A103" s="50"/>
      <c r="B103" s="12">
        <v>6</v>
      </c>
      <c r="C103" s="138" t="s">
        <v>160</v>
      </c>
      <c r="D103" s="138"/>
      <c r="E103" s="138"/>
      <c r="F103" s="33" t="s">
        <v>112</v>
      </c>
    </row>
    <row r="104" spans="1:6" s="52" customFormat="1" ht="16.5" customHeight="1" x14ac:dyDescent="0.3">
      <c r="A104" s="50"/>
      <c r="B104" s="12" t="s">
        <v>14</v>
      </c>
      <c r="C104" s="143" t="s">
        <v>161</v>
      </c>
      <c r="D104" s="143"/>
      <c r="E104" s="143"/>
      <c r="F104" s="53">
        <v>4.7300000000000004</v>
      </c>
    </row>
    <row r="105" spans="1:6" s="52" customFormat="1" ht="16.5" customHeight="1" x14ac:dyDescent="0.3">
      <c r="A105" s="51"/>
      <c r="B105" s="33" t="s">
        <v>16</v>
      </c>
      <c r="C105" s="132" t="s">
        <v>162</v>
      </c>
      <c r="D105" s="132"/>
      <c r="E105" s="132"/>
      <c r="F105" s="53">
        <v>5.45</v>
      </c>
    </row>
    <row r="106" spans="1:6" ht="16.5" customHeight="1" x14ac:dyDescent="0.3">
      <c r="B106" s="54" t="s">
        <v>163</v>
      </c>
      <c r="C106" s="143" t="s">
        <v>164</v>
      </c>
      <c r="D106" s="143"/>
      <c r="E106" s="143">
        <f>PERC_PIS</f>
        <v>0.65</v>
      </c>
      <c r="F106" s="53">
        <v>0.65</v>
      </c>
    </row>
    <row r="107" spans="1:6" ht="16.5" customHeight="1" x14ac:dyDescent="0.3">
      <c r="B107" s="54" t="s">
        <v>165</v>
      </c>
      <c r="C107" s="132" t="s">
        <v>166</v>
      </c>
      <c r="D107" s="132"/>
      <c r="E107" s="132">
        <f>PERC_COFINS</f>
        <v>3</v>
      </c>
      <c r="F107" s="53">
        <v>3</v>
      </c>
    </row>
    <row r="108" spans="1:6" s="36" customFormat="1" ht="16.5" customHeight="1" x14ac:dyDescent="0.3">
      <c r="B108" s="54" t="s">
        <v>167</v>
      </c>
      <c r="C108" s="143" t="s">
        <v>168</v>
      </c>
      <c r="D108" s="143"/>
      <c r="E108" s="143">
        <f>PERC_ISS</f>
        <v>5</v>
      </c>
      <c r="F108" s="53">
        <v>5</v>
      </c>
    </row>
    <row r="109" spans="1:6" x14ac:dyDescent="0.3">
      <c r="B109" s="36"/>
      <c r="C109" s="36"/>
      <c r="D109" s="36"/>
      <c r="E109" s="36"/>
      <c r="F109" s="36"/>
    </row>
    <row r="110" spans="1:6" ht="33.75" customHeight="1" x14ac:dyDescent="0.3">
      <c r="B110" s="55" t="s">
        <v>169</v>
      </c>
      <c r="C110" s="56"/>
      <c r="D110" s="56"/>
      <c r="E110" s="56"/>
      <c r="F110" s="57"/>
    </row>
    <row r="111" spans="1:6" ht="32.25" customHeight="1" x14ac:dyDescent="0.3">
      <c r="B111" s="144" t="s">
        <v>170</v>
      </c>
      <c r="C111" s="144"/>
      <c r="D111" s="144"/>
      <c r="E111" s="144"/>
      <c r="F111" s="144"/>
    </row>
  </sheetData>
  <mergeCells count="85">
    <mergeCell ref="C98:E98"/>
    <mergeCell ref="C99:E99"/>
    <mergeCell ref="C92:E92"/>
    <mergeCell ref="C94:E94"/>
    <mergeCell ref="C95:E95"/>
    <mergeCell ref="C96:E96"/>
    <mergeCell ref="C97:E97"/>
    <mergeCell ref="C106:E106"/>
    <mergeCell ref="C107:E107"/>
    <mergeCell ref="C108:E108"/>
    <mergeCell ref="B111:F111"/>
    <mergeCell ref="D30:F30"/>
    <mergeCell ref="D31:F31"/>
    <mergeCell ref="D32:F32"/>
    <mergeCell ref="D33:F33"/>
    <mergeCell ref="D34:F34"/>
    <mergeCell ref="D35:F35"/>
    <mergeCell ref="C44:E44"/>
    <mergeCell ref="C45:E45"/>
    <mergeCell ref="C46:E46"/>
    <mergeCell ref="C47:E47"/>
    <mergeCell ref="C48:E48"/>
    <mergeCell ref="C49:E49"/>
    <mergeCell ref="C100:E100"/>
    <mergeCell ref="B102:F102"/>
    <mergeCell ref="C103:E103"/>
    <mergeCell ref="C104:E104"/>
    <mergeCell ref="C105:E105"/>
    <mergeCell ref="C75:E75"/>
    <mergeCell ref="C78:E78"/>
    <mergeCell ref="C79:E79"/>
    <mergeCell ref="C86:E86"/>
    <mergeCell ref="C93:E93"/>
    <mergeCell ref="C80:E80"/>
    <mergeCell ref="C81:E81"/>
    <mergeCell ref="C82:E82"/>
    <mergeCell ref="C83:E83"/>
    <mergeCell ref="C84:E84"/>
    <mergeCell ref="C85:E85"/>
    <mergeCell ref="C87:E87"/>
    <mergeCell ref="C88:E88"/>
    <mergeCell ref="C89:E89"/>
    <mergeCell ref="C90:E90"/>
    <mergeCell ref="C91:E91"/>
    <mergeCell ref="C65:D65"/>
    <mergeCell ref="C69:E69"/>
    <mergeCell ref="C70:E70"/>
    <mergeCell ref="C73:E73"/>
    <mergeCell ref="C74:E74"/>
    <mergeCell ref="C60:D60"/>
    <mergeCell ref="C61:D61"/>
    <mergeCell ref="C62:D62"/>
    <mergeCell ref="C63:D63"/>
    <mergeCell ref="C64:D64"/>
    <mergeCell ref="C52:E52"/>
    <mergeCell ref="C53:E53"/>
    <mergeCell ref="C54:E54"/>
    <mergeCell ref="C55:E55"/>
    <mergeCell ref="C59:D59"/>
    <mergeCell ref="C38:E38"/>
    <mergeCell ref="C42:E42"/>
    <mergeCell ref="C43:E43"/>
    <mergeCell ref="C50:E50"/>
    <mergeCell ref="C51:E51"/>
    <mergeCell ref="B17:F17"/>
    <mergeCell ref="B28:F28"/>
    <mergeCell ref="D29:F29"/>
    <mergeCell ref="D36:F36"/>
    <mergeCell ref="C37:E37"/>
    <mergeCell ref="C11:E11"/>
    <mergeCell ref="D12:F12"/>
    <mergeCell ref="C13:E13"/>
    <mergeCell ref="C14:E14"/>
    <mergeCell ref="C15:E15"/>
    <mergeCell ref="B7:C7"/>
    <mergeCell ref="D7:E7"/>
    <mergeCell ref="B8:C8"/>
    <mergeCell ref="D8:E8"/>
    <mergeCell ref="B10:F10"/>
    <mergeCell ref="B1:F1"/>
    <mergeCell ref="B2:D2"/>
    <mergeCell ref="B4:F4"/>
    <mergeCell ref="B5:F5"/>
    <mergeCell ref="B6:C6"/>
    <mergeCell ref="D6:F6"/>
  </mergeCells>
  <phoneticPr fontId="20" type="noConversion"/>
  <dataValidations count="12">
    <dataValidation type="whole" allowBlank="1" showInputMessage="1" showErrorMessage="1" errorTitle="Erro na inserção de dados." error="O percentual de ISS deve estar entre 2 e 5%, conforme o inciso I do artigo 8º e o caput do art. 8º-A da Lei Complementar nº 116/2003." sqref="F108" xr:uid="{63B1A3F0-7649-4E5F-B957-401703EBEB85}">
      <formula1>2</formula1>
      <formula2>5</formula2>
    </dataValidation>
    <dataValidation type="whole" errorStyle="warning" operator="equal" allowBlank="1" showInputMessage="1" showErrorMessage="1" errorTitle="Atentar para o percentual." error="Tem certeza que o percentual do Cofins é diferente de 3%, previsto no art. 31 da Lei nº 10.833/2003?" sqref="F107" xr:uid="{82E4F002-857F-4D6A-8B17-38D688EA29F9}">
      <formula1>3</formula1>
      <formula2>0</formula2>
    </dataValidation>
    <dataValidation type="decimal" errorStyle="warning" operator="equal" allowBlank="1" showInputMessage="1" showErrorMessage="1" errorTitle="Atentar para o percentual." error="Tem certeza que o percentual do PIS é diferente de 0,65%, previsto no art. 31 da Lei nº 10.833/2003?" sqref="F106" xr:uid="{030FF0D2-AE86-4FBC-AC83-798E9FBA1836}">
      <formula1>0.65</formula1>
      <formula2>0</formula2>
    </dataValidation>
    <dataValidation type="decimal" errorStyle="warning" allowBlank="1" showInputMessage="1" showErrorMessage="1" errorTitle="Erro na inserção de dados." error="O percentual recomendado de lucro é de 5,57%, conforme estudos realizados pela Auditoria Interna do MPU." sqref="F105" xr:uid="{4760050A-4F5B-4925-940B-910EF18E726C}">
      <formula1>0</formula1>
      <formula2>5.57</formula2>
    </dataValidation>
    <dataValidation type="decimal" errorStyle="warning" allowBlank="1" showInputMessage="1" showErrorMessage="1" errorTitle="Erro na inserção de dados." error="O percentual recomendado de custos indiretos é de 4,73%, conforme estudos realizados pela Auditoria Interna do MPU." sqref="F104" xr:uid="{B11FBFAA-8580-4CC3-B97F-300EAD6641C0}">
      <formula1>0</formula1>
      <formula2>4.73</formula2>
    </dataValidation>
    <dataValidation type="list" operator="equal" allowBlank="1" showInputMessage="1" showErrorMessage="1" errorTitle="Erro na inserção de dados." error="De acordo com o art. 192 da CLT, estão previstos somente os percentuais de 40% (máximo), 20% (médio) ou 10% (mínimo), conforme for a exposição ao risco." sqref="F52" xr:uid="{453ED8A2-B599-46AC-A310-84F08EF0E9CB}">
      <formula1>"0,10,20,40"</formula1>
      <formula2>0</formula2>
    </dataValidation>
    <dataValidation type="list" allowBlank="1" showInputMessage="1" showErrorMessage="1" errorTitle="Erro na inserção de dados." error="Somente estão previstos 15 dias (intercalados), no caso de postos 12x36 horas, ou 22 dias (úteis), no caso de postos 44 horas." sqref="F62" xr:uid="{B41F6B56-50FD-4E18-B0CF-BAD33E2B47F0}">
      <formula1>"15,22"</formula1>
      <formula2>0</formula2>
    </dataValidation>
    <dataValidation type="whole" errorStyle="warning" operator="equal" allowBlank="1" showInputMessage="1" showErrorMessage="1" errorTitle="Atenção para a inclusão do item." error="Tem certeza que deseja incluir este item de custo e que o tempo de intervalo está de acordo com o previsto na CCT da categoria?" promptTitle="Intervalo Intrajornada" prompt="Segundo estudos da Audin-MPU, esse item não é usual nas planilhas do MPU. Verifique se realmente há necessidade de incluí-lo." sqref="F75" xr:uid="{219029BD-5C5E-4BEF-A31D-2D4E4ACCF3F7}">
      <formula1>0</formula1>
      <formula2>0</formula2>
    </dataValidation>
    <dataValidation type="whole" errorStyle="warning" operator="equal" allowBlank="1" showInputMessage="1" showErrorMessage="1" errorTitle="Atenção para a inclusão do item." error="Tem certeza que deseja incluir este item de custo e que o percentual está de acordo com o previsto na CCT da categoria?" promptTitle="Intervalo Intrajornada" prompt="Segundo estudos da Audin-MPU, esse item não é usual nas planilhas do MPU. Verifique se realmente há necessidade de incluí-lo." sqref="F74" xr:uid="{800523A9-9635-4D3F-B59C-C4143091FA01}">
      <formula1>0</formula1>
      <formula2>0</formula2>
    </dataValidation>
    <dataValidation type="list" allowBlank="1" showInputMessage="1" showErrorMessage="1" sqref="F13" xr:uid="{72F6D11F-5567-48BC-A50F-3AEE3C697757}">
      <formula1>"AC,AL,AP,AM,BA,CE,DF,ES,GO,MA,MG,MS,MT,PA,PB,PR,PE,PI,RJ,RN,RO,RR,RS,SC,SP,SE,TO"</formula1>
      <formula2>0</formula2>
    </dataValidation>
    <dataValidation type="decimal" errorStyle="warning" operator="greaterThanOrEqual" allowBlank="1" showInputMessage="1" showErrorMessage="1" errorTitle="Atentar para o valor do salário." error="Tem certeza que o valor do salário-base é menor do que o salário mínimo vigente no país?" sqref="F49" xr:uid="{CA8360CD-E29E-46F0-8D32-79232515432C}">
      <formula1>F26</formula1>
      <formula2>0</formula2>
    </dataValidation>
    <dataValidation type="decimal" errorStyle="warning" operator="greaterThanOrEqual" allowBlank="1" showInputMessage="1" showErrorMessage="1" errorTitle="Atentar para o valor do salário." error="Tem certeza que o valor do salário-base é menor do que o salário mínimo vigente no país?" sqref="F43:F48" xr:uid="{57142B3D-198F-4864-9948-99F872768792}">
      <formula1>F25</formula1>
      <formula2>0</formula2>
    </dataValidation>
  </dataValidations>
  <pageMargins left="0.17013888888888901" right="0.17013888888888901" top="0.45972222222222198" bottom="0.32986111111111099" header="0.51180555555555496" footer="0.51180555555555496"/>
  <pageSetup paperSize="9" scale="4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9111-C346-45B1-9189-93A249643BAE}">
  <sheetPr>
    <pageSetUpPr fitToPage="1"/>
  </sheetPr>
  <dimension ref="A1:AMJ107"/>
  <sheetViews>
    <sheetView topLeftCell="A83" workbookViewId="0">
      <selection activeCell="F106" sqref="F106"/>
    </sheetView>
  </sheetViews>
  <sheetFormatPr defaultColWidth="9.140625" defaultRowHeight="16.5" x14ac:dyDescent="0.3"/>
  <cols>
    <col min="1" max="1" width="2.7109375" style="4" customWidth="1"/>
    <col min="2" max="2" width="8.85546875" style="4" customWidth="1"/>
    <col min="3" max="3" width="54.7109375" style="4" customWidth="1"/>
    <col min="4" max="4" width="7.85546875" style="4" customWidth="1"/>
    <col min="5" max="5" width="13.5703125" style="4" customWidth="1"/>
    <col min="6" max="6" width="15.42578125" style="4" customWidth="1"/>
    <col min="7" max="1024" width="9.140625" style="4"/>
  </cols>
  <sheetData>
    <row r="1" spans="2:6" ht="20.25" x14ac:dyDescent="0.35">
      <c r="B1" s="150" t="str">
        <f>RAMO</f>
        <v>RAMO: ESCOLA SUPERIOR DO MINISTÉRIO PÚBLICO DA UNIÃO</v>
      </c>
      <c r="C1" s="150"/>
      <c r="D1" s="150"/>
      <c r="E1" s="150"/>
      <c r="F1" s="150"/>
    </row>
    <row r="2" spans="2:6" ht="20.25" x14ac:dyDescent="0.35">
      <c r="B2" s="151" t="str">
        <f>UG</f>
        <v>UNIDADE GESTORA (SIGLA): ESMPU</v>
      </c>
      <c r="C2" s="151"/>
      <c r="D2" s="151"/>
      <c r="E2" s="71" t="s">
        <v>2</v>
      </c>
      <c r="F2" s="72">
        <f>DATA_DO_ORCAMENTO_ESTIMATIVO</f>
        <v>45702</v>
      </c>
    </row>
    <row r="3" spans="2:6" s="6" customFormat="1" ht="25.5" x14ac:dyDescent="0.5">
      <c r="B3" s="124" t="s">
        <v>243</v>
      </c>
      <c r="C3" s="124"/>
      <c r="D3" s="124"/>
      <c r="E3" s="124"/>
      <c r="F3" s="124"/>
    </row>
    <row r="4" spans="2:6" s="6" customFormat="1" ht="15.95" customHeight="1" x14ac:dyDescent="0.3">
      <c r="B4" s="125" t="s">
        <v>4</v>
      </c>
      <c r="C4" s="125"/>
      <c r="D4" s="125"/>
      <c r="E4" s="125"/>
      <c r="F4" s="125"/>
    </row>
    <row r="5" spans="2:6" s="6" customFormat="1" ht="15.95" customHeight="1" x14ac:dyDescent="0.3">
      <c r="B5" s="126" t="s">
        <v>244</v>
      </c>
      <c r="C5" s="126"/>
      <c r="D5" s="152" t="str">
        <f>NUMERO_PROCESSO</f>
        <v>0.01.000.1.003277/2024-10</v>
      </c>
      <c r="E5" s="152"/>
      <c r="F5" s="152"/>
    </row>
    <row r="6" spans="2:6" s="6" customFormat="1" ht="15.75" customHeight="1" x14ac:dyDescent="0.3">
      <c r="B6" s="128" t="s">
        <v>245</v>
      </c>
      <c r="C6" s="128"/>
      <c r="D6" s="153" t="str">
        <f>MODALIDADE_DE_LICITACAO</f>
        <v>Pregão nº</v>
      </c>
      <c r="E6" s="153"/>
      <c r="F6" s="73" t="str">
        <f>NUMERO_PREGAO</f>
        <v>XX/20XX</v>
      </c>
    </row>
    <row r="7" spans="2:6" s="6" customFormat="1" ht="15.75" customHeight="1" x14ac:dyDescent="0.3">
      <c r="B7" s="154" t="s">
        <v>246</v>
      </c>
      <c r="C7" s="154"/>
      <c r="D7" s="154"/>
      <c r="E7" s="154"/>
      <c r="F7" s="154"/>
    </row>
    <row r="8" spans="2:6" s="6" customFormat="1" ht="18" customHeight="1" x14ac:dyDescent="0.3">
      <c r="B8" s="10" t="s">
        <v>14</v>
      </c>
      <c r="C8" s="126" t="s">
        <v>15</v>
      </c>
      <c r="D8" s="126"/>
      <c r="E8" s="126"/>
      <c r="F8" s="74" t="str">
        <f>DATA_APRESENTACAO_PROPOSTA</f>
        <v>XX/XX/20XX</v>
      </c>
    </row>
    <row r="9" spans="2:6" s="6" customFormat="1" ht="15.95" customHeight="1" x14ac:dyDescent="0.15">
      <c r="B9" s="12" t="s">
        <v>16</v>
      </c>
      <c r="C9" s="13" t="s">
        <v>17</v>
      </c>
      <c r="D9" s="145" t="str">
        <f>IF(LOCAL_DE_EXECUCAO="","",LOCAL_DE_EXECUCAO)</f>
        <v>SEDE DA ESMPU</v>
      </c>
      <c r="E9" s="145"/>
      <c r="F9" s="145"/>
    </row>
    <row r="10" spans="2:6" s="6" customFormat="1" ht="18.75" customHeight="1" x14ac:dyDescent="0.3">
      <c r="B10" s="10" t="s">
        <v>19</v>
      </c>
      <c r="C10" s="126" t="s">
        <v>23</v>
      </c>
      <c r="D10" s="126"/>
      <c r="E10" s="126"/>
      <c r="F10" s="75" t="str">
        <f>ACORDO_COLETIVO</f>
        <v>01/2025</v>
      </c>
    </row>
    <row r="11" spans="2:6" s="6" customFormat="1" ht="15.95" customHeight="1" x14ac:dyDescent="0.3">
      <c r="B11" s="12" t="s">
        <v>22</v>
      </c>
      <c r="C11" s="145" t="s">
        <v>26</v>
      </c>
      <c r="D11" s="145"/>
      <c r="E11" s="145"/>
      <c r="F11" s="40">
        <f>NUMERO_MESES_EXEC_CONTRATUAL</f>
        <v>12</v>
      </c>
    </row>
    <row r="12" spans="2:6" s="6" customFormat="1" x14ac:dyDescent="0.3">
      <c r="B12" s="12" t="s">
        <v>25</v>
      </c>
      <c r="C12" s="155" t="s">
        <v>247</v>
      </c>
      <c r="D12" s="155"/>
      <c r="E12" s="155"/>
      <c r="F12" s="15">
        <f>'INSERÇÃO-DE-DADOS'!F25</f>
        <v>3</v>
      </c>
    </row>
    <row r="13" spans="2:6" s="76" customFormat="1" ht="15" customHeight="1" x14ac:dyDescent="0.2">
      <c r="B13" s="77" t="s">
        <v>68</v>
      </c>
      <c r="C13" s="78"/>
      <c r="D13" s="78"/>
      <c r="E13" s="78"/>
      <c r="F13" s="78"/>
    </row>
    <row r="14" spans="2:6" s="6" customFormat="1" x14ac:dyDescent="0.3">
      <c r="B14" s="10">
        <v>1</v>
      </c>
      <c r="C14" s="24" t="s">
        <v>248</v>
      </c>
      <c r="D14" s="165" t="str">
        <f>'INSERÇÃO-DE-DADOS'!C25</f>
        <v>Recepcionista</v>
      </c>
      <c r="E14" s="166"/>
      <c r="F14" s="167"/>
    </row>
    <row r="15" spans="2:6" s="6" customFormat="1" x14ac:dyDescent="0.3">
      <c r="B15" s="10">
        <v>2</v>
      </c>
      <c r="C15" s="25" t="s">
        <v>249</v>
      </c>
      <c r="D15" s="156" t="str">
        <f>'INSERÇÃO-DE-DADOS'!D35</f>
        <v>4221-05</v>
      </c>
      <c r="E15" s="156"/>
      <c r="F15" s="156"/>
    </row>
    <row r="16" spans="2:6" s="6" customFormat="1" ht="15" customHeight="1" x14ac:dyDescent="0.3">
      <c r="B16" s="10">
        <v>3</v>
      </c>
      <c r="C16" s="24" t="s">
        <v>64</v>
      </c>
      <c r="D16" s="152" t="str">
        <f>IF(CATEGORIA_PROFISSIONAL="","",CATEGORIA_PROFISSIONAL)</f>
        <v>Apoio Administrativo</v>
      </c>
      <c r="E16" s="152"/>
      <c r="F16" s="152"/>
    </row>
    <row r="17" spans="2:6" s="6" customFormat="1" ht="15" customHeight="1" x14ac:dyDescent="0.3">
      <c r="B17" s="10">
        <v>4</v>
      </c>
      <c r="C17" s="128" t="s">
        <v>66</v>
      </c>
      <c r="D17" s="128"/>
      <c r="E17" s="128"/>
      <c r="F17" s="79">
        <f>DATA_BASE_CATEGORIA</f>
        <v>45658</v>
      </c>
    </row>
    <row r="18" spans="2:6" s="80" customFormat="1" ht="20.25" customHeight="1" x14ac:dyDescent="0.3">
      <c r="B18" s="157" t="s">
        <v>250</v>
      </c>
      <c r="C18" s="157"/>
      <c r="D18" s="157"/>
      <c r="E18" s="157"/>
      <c r="F18" s="157"/>
    </row>
    <row r="19" spans="2:6" x14ac:dyDescent="0.3">
      <c r="B19" s="138" t="s">
        <v>251</v>
      </c>
      <c r="C19" s="138"/>
      <c r="D19" s="138"/>
      <c r="E19" s="138"/>
      <c r="F19" s="81">
        <f>IF(EMPREG_POR_POSTO="","",EMPREG_POR_POSTO)</f>
        <v>1</v>
      </c>
    </row>
    <row r="20" spans="2:6" x14ac:dyDescent="0.3">
      <c r="B20" s="31" t="s">
        <v>69</v>
      </c>
      <c r="E20" s="32"/>
      <c r="F20" s="32"/>
    </row>
    <row r="21" spans="2:6" ht="16.5" customHeight="1" x14ac:dyDescent="0.3">
      <c r="B21" s="12">
        <v>1</v>
      </c>
      <c r="C21" s="133" t="s">
        <v>70</v>
      </c>
      <c r="D21" s="133"/>
      <c r="E21" s="133"/>
      <c r="F21" s="33" t="s">
        <v>122</v>
      </c>
    </row>
    <row r="22" spans="2:6" ht="16.5" customHeight="1" x14ac:dyDescent="0.3">
      <c r="B22" s="12" t="s">
        <v>14</v>
      </c>
      <c r="C22" s="134" t="s">
        <v>252</v>
      </c>
      <c r="D22" s="134"/>
      <c r="E22" s="134"/>
      <c r="F22" s="82">
        <f>'INSERÇÃO-DE-DADOS'!F49</f>
        <v>2574.37</v>
      </c>
    </row>
    <row r="23" spans="2:6" ht="16.5" customHeight="1" x14ac:dyDescent="0.3">
      <c r="B23" s="12" t="s">
        <v>16</v>
      </c>
      <c r="C23" s="132" t="s">
        <v>253</v>
      </c>
      <c r="D23" s="132"/>
      <c r="E23" s="132"/>
      <c r="F23" s="83">
        <f>PERC_ADIC_PERIC%*SALARIO_BASE</f>
        <v>0</v>
      </c>
    </row>
    <row r="24" spans="2:6" ht="15.75" customHeight="1" x14ac:dyDescent="0.3">
      <c r="B24" s="12" t="s">
        <v>19</v>
      </c>
      <c r="C24" s="159" t="s">
        <v>254</v>
      </c>
      <c r="D24" s="159"/>
      <c r="E24" s="159"/>
      <c r="F24" s="82">
        <f>((AL_1_A_SAL_BASE+AL_1_B_ADIC_PERIC)/DIVISOR_DE_HORAS)*DIAS_NA_SEMANA*MEDIA_ANUAL_DIAS_TRABALHO_MES*PERC_ADIC_NOT%</f>
        <v>0</v>
      </c>
    </row>
    <row r="25" spans="2:6" ht="15.75" customHeight="1" x14ac:dyDescent="0.3">
      <c r="B25" s="12" t="s">
        <v>22</v>
      </c>
      <c r="C25" s="132" t="s">
        <v>255</v>
      </c>
      <c r="D25" s="132"/>
      <c r="E25" s="132"/>
      <c r="F25" s="83">
        <f>((AL_1_A_SAL_BASE+AL_1_B_ADIC_PERIC)/DIVISOR_DE_HORAS)*((HORA_NORMAL-HORA_NOTURNA)/HORA_NOTURNA)*DIAS_NA_SEMANA*MEDIA_ANUAL_DIAS_TRABALHO_MES*PERC_ADIC_NOT%</f>
        <v>0</v>
      </c>
    </row>
    <row r="26" spans="2:6" ht="15.75" customHeight="1" x14ac:dyDescent="0.3">
      <c r="B26" s="12" t="s">
        <v>25</v>
      </c>
      <c r="C26" s="143" t="s">
        <v>256</v>
      </c>
      <c r="D26" s="143"/>
      <c r="E26" s="143"/>
      <c r="F26" s="82">
        <f>PERC_ADIC_INS%*SAL_MINIMO</f>
        <v>0</v>
      </c>
    </row>
    <row r="27" spans="2:6" x14ac:dyDescent="0.3">
      <c r="B27" s="12" t="s">
        <v>90</v>
      </c>
      <c r="C27" s="135" t="str">
        <f>OUTROS_REMUNERACAO_1_DESCRICAO</f>
        <v>Outras Remunerações 1 (Especificar)</v>
      </c>
      <c r="D27" s="135"/>
      <c r="E27" s="135"/>
      <c r="F27" s="83">
        <f>OUTROS_REMUNERACAO_1</f>
        <v>0</v>
      </c>
    </row>
    <row r="28" spans="2:6" x14ac:dyDescent="0.3">
      <c r="B28" s="12" t="s">
        <v>92</v>
      </c>
      <c r="C28" s="134" t="str">
        <f>OUTROS_REMUNERACAO_2_DESCRICAO</f>
        <v>Outras Remunerações 2 (Especificar)</v>
      </c>
      <c r="D28" s="134"/>
      <c r="E28" s="134"/>
      <c r="F28" s="82">
        <f>OUTROS_REMUNERACAO_2</f>
        <v>0</v>
      </c>
    </row>
    <row r="29" spans="2:6" x14ac:dyDescent="0.3">
      <c r="B29" s="12" t="s">
        <v>200</v>
      </c>
      <c r="C29" s="135" t="str">
        <f>OUTROS_REMUNERACAO_3_DESCRICAO</f>
        <v>Outras Remunerações 3 (Especificar)</v>
      </c>
      <c r="D29" s="135"/>
      <c r="E29" s="135"/>
      <c r="F29" s="83">
        <f>OUTROS_REMUNERACAO_3</f>
        <v>0</v>
      </c>
    </row>
    <row r="30" spans="2:6" ht="16.5" customHeight="1" x14ac:dyDescent="0.3">
      <c r="B30" s="133" t="s">
        <v>225</v>
      </c>
      <c r="C30" s="133"/>
      <c r="D30" s="133"/>
      <c r="E30" s="133"/>
      <c r="F30" s="84">
        <f>SUM(F22:F29)</f>
        <v>2574.37</v>
      </c>
    </row>
    <row r="31" spans="2:6" x14ac:dyDescent="0.3">
      <c r="B31" s="31" t="s">
        <v>94</v>
      </c>
      <c r="E31" s="37"/>
      <c r="F31" s="37"/>
    </row>
    <row r="32" spans="2:6" x14ac:dyDescent="0.3">
      <c r="B32" s="31" t="s">
        <v>206</v>
      </c>
      <c r="C32" s="43"/>
      <c r="D32" s="44"/>
      <c r="E32" s="45"/>
      <c r="F32" s="45"/>
    </row>
    <row r="33" spans="2:6" x14ac:dyDescent="0.3">
      <c r="B33" s="12" t="s">
        <v>207</v>
      </c>
      <c r="C33" s="138" t="s">
        <v>208</v>
      </c>
      <c r="D33" s="138"/>
      <c r="E33" s="33" t="s">
        <v>112</v>
      </c>
      <c r="F33" s="33" t="s">
        <v>122</v>
      </c>
    </row>
    <row r="34" spans="2:6" ht="16.5" customHeight="1" x14ac:dyDescent="0.3">
      <c r="B34" s="12" t="s">
        <v>14</v>
      </c>
      <c r="C34" s="143" t="s">
        <v>210</v>
      </c>
      <c r="D34" s="143"/>
      <c r="E34" s="66">
        <f>PERC_DEC_TERC</f>
        <v>8.3333333333333321</v>
      </c>
      <c r="F34" s="63">
        <f>PERC_DEC_TERC%*MOD_1_REMUNERACAO</f>
        <v>214.53083333333328</v>
      </c>
    </row>
    <row r="35" spans="2:6" ht="16.5" customHeight="1" x14ac:dyDescent="0.3">
      <c r="B35" s="33" t="s">
        <v>16</v>
      </c>
      <c r="C35" s="132" t="s">
        <v>212</v>
      </c>
      <c r="D35" s="132"/>
      <c r="E35" s="67">
        <f>PERC_ADIC_FERIAS</f>
        <v>2.7777777777777777</v>
      </c>
      <c r="F35" s="64">
        <f>PERC_ADIC_FERIAS%*MOD_1_REMUNERACAO</f>
        <v>71.510277777777773</v>
      </c>
    </row>
    <row r="36" spans="2:6" s="36" customFormat="1" x14ac:dyDescent="0.3">
      <c r="B36" s="138" t="s">
        <v>225</v>
      </c>
      <c r="C36" s="138"/>
      <c r="D36" s="138"/>
      <c r="E36" s="138"/>
      <c r="F36" s="85">
        <f>SUM(F34:F35)</f>
        <v>286.04111111111104</v>
      </c>
    </row>
    <row r="37" spans="2:6" s="36" customFormat="1" ht="31.5" customHeight="1" x14ac:dyDescent="0.3">
      <c r="B37" s="158" t="s">
        <v>214</v>
      </c>
      <c r="C37" s="158"/>
      <c r="D37" s="158"/>
      <c r="E37" s="158"/>
      <c r="F37" s="158"/>
    </row>
    <row r="38" spans="2:6" s="36" customFormat="1" ht="34.5" customHeight="1" x14ac:dyDescent="0.3">
      <c r="B38" s="12" t="s">
        <v>215</v>
      </c>
      <c r="C38" s="147" t="s">
        <v>216</v>
      </c>
      <c r="D38" s="147"/>
      <c r="E38" s="33" t="s">
        <v>112</v>
      </c>
      <c r="F38" s="33" t="s">
        <v>122</v>
      </c>
    </row>
    <row r="39" spans="2:6" ht="16.5" customHeight="1" x14ac:dyDescent="0.3">
      <c r="B39" s="12" t="s">
        <v>14</v>
      </c>
      <c r="C39" s="143" t="s">
        <v>217</v>
      </c>
      <c r="D39" s="143"/>
      <c r="E39" s="66">
        <f>PERC_INSS</f>
        <v>20</v>
      </c>
      <c r="F39" s="63">
        <f>PERC_INSS%*(MOD_1_REMUNERACAO+SUBMOD_2_1_DEC_TERC_ADIC_FERIAS)</f>
        <v>572.08222222222219</v>
      </c>
    </row>
    <row r="40" spans="2:6" s="6" customFormat="1" ht="16.5" customHeight="1" x14ac:dyDescent="0.15">
      <c r="B40" s="33" t="s">
        <v>16</v>
      </c>
      <c r="C40" s="132" t="s">
        <v>218</v>
      </c>
      <c r="D40" s="132"/>
      <c r="E40" s="68">
        <f>PERC_SAL_EDUCACAO</f>
        <v>2.5</v>
      </c>
      <c r="F40" s="64">
        <f>PERC_SAL_EDUCACAO%*(MOD_1_REMUNERACAO+SUBMOD_2_1_DEC_TERC_ADIC_FERIAS)</f>
        <v>71.510277777777773</v>
      </c>
    </row>
    <row r="41" spans="2:6" s="6" customFormat="1" ht="16.5" customHeight="1" x14ac:dyDescent="0.15">
      <c r="B41" s="33" t="s">
        <v>19</v>
      </c>
      <c r="C41" s="143" t="s">
        <v>219</v>
      </c>
      <c r="D41" s="143"/>
      <c r="E41" s="66">
        <f>PERC_RAT</f>
        <v>3</v>
      </c>
      <c r="F41" s="63">
        <f>PERC_RAT%*(MOD_1_REMUNERACAO+SUBMOD_2_1_DEC_TERC_ADIC_FERIAS)</f>
        <v>85.812333333333328</v>
      </c>
    </row>
    <row r="42" spans="2:6" s="6" customFormat="1" ht="16.5" customHeight="1" x14ac:dyDescent="0.15">
      <c r="B42" s="33" t="s">
        <v>22</v>
      </c>
      <c r="C42" s="132" t="s">
        <v>220</v>
      </c>
      <c r="D42" s="132"/>
      <c r="E42" s="67">
        <f>PERC_SESC</f>
        <v>1.5</v>
      </c>
      <c r="F42" s="64">
        <f>PERC_SESC%*(MOD_1_REMUNERACAO+SUBMOD_2_1_DEC_TERC_ADIC_FERIAS)</f>
        <v>42.906166666666664</v>
      </c>
    </row>
    <row r="43" spans="2:6" s="6" customFormat="1" ht="16.5" customHeight="1" x14ac:dyDescent="0.15">
      <c r="B43" s="33" t="s">
        <v>25</v>
      </c>
      <c r="C43" s="143" t="s">
        <v>221</v>
      </c>
      <c r="D43" s="143"/>
      <c r="E43" s="66">
        <f>PERC_SENAC</f>
        <v>1</v>
      </c>
      <c r="F43" s="63">
        <f>PERC_SENAC%*(MOD_1_REMUNERACAO+SUBMOD_2_1_DEC_TERC_ADIC_FERIAS)</f>
        <v>28.604111111111109</v>
      </c>
    </row>
    <row r="44" spans="2:6" s="6" customFormat="1" ht="16.5" customHeight="1" x14ac:dyDescent="0.15">
      <c r="B44" s="33" t="s">
        <v>90</v>
      </c>
      <c r="C44" s="132" t="s">
        <v>222</v>
      </c>
      <c r="D44" s="132"/>
      <c r="E44" s="68">
        <f>PERC_SEBRAE</f>
        <v>0.6</v>
      </c>
      <c r="F44" s="64">
        <f>PERC_SEBRAE%*(MOD_1_REMUNERACAO+SUBMOD_2_1_DEC_TERC_ADIC_FERIAS)</f>
        <v>17.162466666666667</v>
      </c>
    </row>
    <row r="45" spans="2:6" s="6" customFormat="1" ht="16.5" customHeight="1" x14ac:dyDescent="0.15">
      <c r="B45" s="33" t="s">
        <v>92</v>
      </c>
      <c r="C45" s="143" t="s">
        <v>223</v>
      </c>
      <c r="D45" s="143"/>
      <c r="E45" s="66">
        <f>PERC_INCRA</f>
        <v>0.2</v>
      </c>
      <c r="F45" s="63">
        <f>PERC_INCRA%*(MOD_1_REMUNERACAO+SUBMOD_2_1_DEC_TERC_ADIC_FERIAS)</f>
        <v>5.720822222222222</v>
      </c>
    </row>
    <row r="46" spans="2:6" ht="16.5" customHeight="1" x14ac:dyDescent="0.3">
      <c r="B46" s="33" t="s">
        <v>200</v>
      </c>
      <c r="C46" s="132" t="s">
        <v>224</v>
      </c>
      <c r="D46" s="132"/>
      <c r="E46" s="68">
        <f>PERC_FGTS</f>
        <v>8</v>
      </c>
      <c r="F46" s="64">
        <f>PERC_FGTS%*(MOD_1_REMUNERACAO+SUBMOD_2_1_DEC_TERC_ADIC_FERIAS)</f>
        <v>228.83288888888887</v>
      </c>
    </row>
    <row r="47" spans="2:6" x14ac:dyDescent="0.3">
      <c r="B47" s="138" t="s">
        <v>225</v>
      </c>
      <c r="C47" s="138"/>
      <c r="D47" s="138"/>
      <c r="E47" s="138"/>
      <c r="F47" s="86">
        <f>SUM(F39:F46)</f>
        <v>1052.6312888888888</v>
      </c>
    </row>
    <row r="48" spans="2:6" ht="15.75" customHeight="1" x14ac:dyDescent="0.3">
      <c r="B48" s="31" t="s">
        <v>95</v>
      </c>
      <c r="C48" s="6"/>
      <c r="D48" s="6"/>
      <c r="E48" s="6"/>
      <c r="F48" s="6"/>
    </row>
    <row r="49" spans="2:6" ht="15.75" customHeight="1" x14ac:dyDescent="0.3">
      <c r="B49" s="12" t="s">
        <v>96</v>
      </c>
      <c r="C49" s="133" t="s">
        <v>97</v>
      </c>
      <c r="D49" s="133"/>
      <c r="E49" s="133"/>
      <c r="F49" s="33" t="s">
        <v>122</v>
      </c>
    </row>
    <row r="50" spans="2:6" ht="16.5" customHeight="1" x14ac:dyDescent="0.3">
      <c r="B50" s="10" t="s">
        <v>14</v>
      </c>
      <c r="C50" s="143" t="s">
        <v>100</v>
      </c>
      <c r="D50" s="143"/>
      <c r="E50" s="143"/>
      <c r="F50" s="63">
        <f>IF(((TRANSPORTE_POR_DIA*DIAS_TRABALHADOS_NO_MES)-(PERC_DESC_TRANSP_REMUNERACAO%*(AL_1_A_SAL_BASE)))&gt;0,((TRANSPORTE_POR_DIA*DIAS_TRABALHADOS_NO_MES)-(PERC_DESC_TRANSP_REMUNERACAO%*(AL_1_A_SAL_BASE))),0)</f>
        <v>87.537800000000004</v>
      </c>
    </row>
    <row r="51" spans="2:6" s="36" customFormat="1" ht="16.5" customHeight="1" x14ac:dyDescent="0.3">
      <c r="B51" s="10" t="s">
        <v>16</v>
      </c>
      <c r="C51" s="132" t="s">
        <v>102</v>
      </c>
      <c r="D51" s="132"/>
      <c r="E51" s="132"/>
      <c r="F51" s="64">
        <f>ALIMENTACAO_POR_DIA*DIAS_TRABALHADOS_NO_MES</f>
        <v>974.59999999999991</v>
      </c>
    </row>
    <row r="52" spans="2:6" s="36" customFormat="1" x14ac:dyDescent="0.3">
      <c r="B52" s="10" t="s">
        <v>19</v>
      </c>
      <c r="C52" s="134" t="str">
        <f>OUTROS_BENEFICIOS_1_DESCRICAO</f>
        <v>Assistência Funeral - Seguro de Vida Coletivo</v>
      </c>
      <c r="D52" s="134"/>
      <c r="E52" s="134"/>
      <c r="F52" s="63">
        <f>OUTROS_BENEFICIOS_1</f>
        <v>3.61</v>
      </c>
    </row>
    <row r="53" spans="2:6" s="36" customFormat="1" x14ac:dyDescent="0.3">
      <c r="B53" s="10" t="s">
        <v>22</v>
      </c>
      <c r="C53" s="135" t="str">
        <f>OUTROS_BENEFICIOS_2_DESCRICAO</f>
        <v>Outros Benefícios 2 (Especificar)</v>
      </c>
      <c r="D53" s="135"/>
      <c r="E53" s="135"/>
      <c r="F53" s="64">
        <f>OUTROS_BENEFICIOS_2</f>
        <v>0</v>
      </c>
    </row>
    <row r="54" spans="2:6" s="36" customFormat="1" x14ac:dyDescent="0.3">
      <c r="B54" s="10" t="s">
        <v>25</v>
      </c>
      <c r="C54" s="134" t="str">
        <f>OUTROS_BENEFICIOS_3_DESCRICAO</f>
        <v>Outros Benefícios 3 (Especificar)</v>
      </c>
      <c r="D54" s="134"/>
      <c r="E54" s="134"/>
      <c r="F54" s="63">
        <f>OUTROS_BENEFICIOS_3</f>
        <v>0</v>
      </c>
    </row>
    <row r="55" spans="2:6" s="36" customFormat="1" ht="15" customHeight="1" x14ac:dyDescent="0.3">
      <c r="B55" s="133" t="s">
        <v>225</v>
      </c>
      <c r="C55" s="133"/>
      <c r="D55" s="133"/>
      <c r="E55" s="133"/>
      <c r="F55" s="84">
        <f>SUM(F50:F54)</f>
        <v>1065.7477999999999</v>
      </c>
    </row>
    <row r="56" spans="2:6" s="36" customFormat="1" x14ac:dyDescent="0.3">
      <c r="B56" s="31" t="s">
        <v>185</v>
      </c>
      <c r="C56" s="43"/>
      <c r="D56" s="44"/>
      <c r="E56" s="45"/>
      <c r="F56" s="45"/>
    </row>
    <row r="57" spans="2:6" s="36" customFormat="1" ht="15" customHeight="1" x14ac:dyDescent="0.3">
      <c r="B57" s="12">
        <v>3</v>
      </c>
      <c r="C57" s="138" t="s">
        <v>186</v>
      </c>
      <c r="D57" s="138"/>
      <c r="E57" s="33" t="s">
        <v>112</v>
      </c>
      <c r="F57" s="33" t="s">
        <v>122</v>
      </c>
    </row>
    <row r="58" spans="2:6" s="36" customFormat="1" x14ac:dyDescent="0.3">
      <c r="B58" s="12" t="s">
        <v>14</v>
      </c>
      <c r="C58" s="148" t="s">
        <v>226</v>
      </c>
      <c r="D58" s="148"/>
      <c r="E58" s="66">
        <f>PERC_AVISO_PREVIO_IND</f>
        <v>0.29105124999999998</v>
      </c>
      <c r="F58" s="63">
        <f>PERC_AVISO_PREVIO_IND%*(MOD_1_REMUNERACAO+SUBMOD_2_1_DEC_TERC_ADIC_FERIAS+AL_2_2_FGTS+SUBMOD_2_3_BENEFICIOS)</f>
        <v>12.093155571297499</v>
      </c>
    </row>
    <row r="59" spans="2:6" s="36" customFormat="1" x14ac:dyDescent="0.3">
      <c r="B59" s="33" t="s">
        <v>16</v>
      </c>
      <c r="C59" s="149" t="s">
        <v>228</v>
      </c>
      <c r="D59" s="149"/>
      <c r="E59" s="68">
        <f>PERC_AVISO_PREVIO_TRAB</f>
        <v>1.1557269305555555</v>
      </c>
      <c r="F59" s="64">
        <f>PERC_AVISO_PREVIO_TRAB%*(MOD_1_REMUNERACAO+SUBMOD_2_1_DEC_TERC_ADIC_FERIAS+SUBMOD_2_2_GPS_FGTS+SUBMOD_2_3_BENEFICIOS)</f>
        <v>57.541219157260798</v>
      </c>
    </row>
    <row r="60" spans="2:6" s="6" customFormat="1" x14ac:dyDescent="0.15">
      <c r="B60" s="33" t="s">
        <v>19</v>
      </c>
      <c r="C60" s="148" t="s">
        <v>230</v>
      </c>
      <c r="D60" s="148"/>
      <c r="E60" s="66">
        <f>PERC_MULTA_FGTS_AV_PREV_TRAB</f>
        <v>0.04</v>
      </c>
      <c r="F60" s="63">
        <f>PERC_MULTA_FGTS_AV_PREV_TRAB%*(MOD_1_REMUNERACAO+SUBMOD_2_1_DEC_TERC_ADIC_FERIAS)</f>
        <v>1.1441644444444445</v>
      </c>
    </row>
    <row r="61" spans="2:6" s="6" customFormat="1" x14ac:dyDescent="0.3">
      <c r="B61" s="138" t="s">
        <v>225</v>
      </c>
      <c r="C61" s="138"/>
      <c r="D61" s="138"/>
      <c r="E61" s="138"/>
      <c r="F61" s="85">
        <f>SUM(F58:F60)</f>
        <v>70.778539173002741</v>
      </c>
    </row>
    <row r="62" spans="2:6" ht="7.5" customHeight="1" x14ac:dyDescent="0.3">
      <c r="B62" s="87"/>
      <c r="D62" s="23"/>
      <c r="E62" s="32"/>
      <c r="F62" s="32"/>
    </row>
    <row r="63" spans="2:6" s="6" customFormat="1" ht="15.95" customHeight="1" x14ac:dyDescent="0.3">
      <c r="B63" s="31" t="s">
        <v>108</v>
      </c>
      <c r="C63" s="43"/>
      <c r="D63" s="44"/>
      <c r="E63" s="4"/>
      <c r="F63" s="4"/>
    </row>
    <row r="64" spans="2:6" s="6" customFormat="1" ht="15.95" customHeight="1" x14ac:dyDescent="0.3">
      <c r="B64" s="31" t="s">
        <v>109</v>
      </c>
      <c r="C64" s="43"/>
      <c r="D64" s="44"/>
      <c r="E64" s="45"/>
      <c r="F64" s="45"/>
    </row>
    <row r="65" spans="2:6" s="6" customFormat="1" ht="16.5" customHeight="1" x14ac:dyDescent="0.15">
      <c r="B65" s="12" t="s">
        <v>110</v>
      </c>
      <c r="C65" s="133" t="s">
        <v>111</v>
      </c>
      <c r="D65" s="133"/>
      <c r="E65" s="33" t="s">
        <v>112</v>
      </c>
      <c r="F65" s="33" t="s">
        <v>122</v>
      </c>
    </row>
    <row r="66" spans="2:6" s="6" customFormat="1" ht="15.95" customHeight="1" x14ac:dyDescent="0.15">
      <c r="B66" s="33" t="s">
        <v>14</v>
      </c>
      <c r="C66" s="143" t="s">
        <v>232</v>
      </c>
      <c r="D66" s="143"/>
      <c r="E66" s="66">
        <f>PERC_SUBSTITUTO_FERIAS</f>
        <v>8.3333333333333321</v>
      </c>
      <c r="F66" s="63">
        <f>PERC_SUBSTITUTO_FERIAS%*(MOD_1_REMUNERACAO+MOD_2_ENCARGOS_BENEFICIOS+MOD_3_PROVISAO_RESCISAO)</f>
        <v>420.79739493108343</v>
      </c>
    </row>
    <row r="67" spans="2:6" s="6" customFormat="1" ht="15.95" customHeight="1" x14ac:dyDescent="0.15">
      <c r="B67" s="33" t="s">
        <v>16</v>
      </c>
      <c r="C67" s="132" t="s">
        <v>234</v>
      </c>
      <c r="D67" s="132"/>
      <c r="E67" s="68">
        <f>PERC_SUBSTITUTO_AUSENCIAS_LEGAIS</f>
        <v>2.2222222222222223</v>
      </c>
      <c r="F67" s="64">
        <f>PERC_SUBSTITUTO_AUSENCIAS_LEGAIS%*(MOD_1_REMUNERACAO+MOD_2_ENCARGOS_BENEFICIOS+MOD_3_PROVISAO_RESCISAO)</f>
        <v>112.21263864828894</v>
      </c>
    </row>
    <row r="68" spans="2:6" s="6" customFormat="1" ht="15.95" customHeight="1" x14ac:dyDescent="0.15">
      <c r="B68" s="33" t="s">
        <v>19</v>
      </c>
      <c r="C68" s="143" t="s">
        <v>236</v>
      </c>
      <c r="D68" s="143"/>
      <c r="E68" s="66">
        <f>PERC_SUBSTITUTO_LICENCA_PATERNIDADE</f>
        <v>3.5673555555555549E-2</v>
      </c>
      <c r="F68" s="63">
        <f>PERC_SUBSTITUTO_LICENCA_PATERNIDADE%*(MOD_1_REMUNERACAO+MOD_2_ENCARGOS_BENEFICIOS+MOD_3_PROVISAO_RESCISAO)</f>
        <v>1.8013607094848469</v>
      </c>
    </row>
    <row r="69" spans="2:6" s="6" customFormat="1" ht="16.5" customHeight="1" x14ac:dyDescent="0.15">
      <c r="B69" s="33" t="s">
        <v>22</v>
      </c>
      <c r="C69" s="132" t="s">
        <v>238</v>
      </c>
      <c r="D69" s="132"/>
      <c r="E69" s="68">
        <f>PERC_SUBSTITUTO_ACID_TRAB</f>
        <v>1.85302229372558E-2</v>
      </c>
      <c r="F69" s="64">
        <f>PERC_SUBSTITUTO_ACID_TRAB%*(MOD_1_REMUNERACAO+MOD_2_ENCARGOS_BENEFICIOS+MOD_3_PROVISAO_RESCISAO)</f>
        <v>0.93569634473873409</v>
      </c>
    </row>
    <row r="70" spans="2:6" s="6" customFormat="1" ht="16.5" customHeight="1" x14ac:dyDescent="0.15">
      <c r="B70" s="33" t="s">
        <v>25</v>
      </c>
      <c r="C70" s="143" t="s">
        <v>240</v>
      </c>
      <c r="D70" s="143"/>
      <c r="E70" s="66">
        <f>PERC_SUBSTITUTO_AFAST_MATERN</f>
        <v>0.14312918399999999</v>
      </c>
      <c r="F70" s="63">
        <f>PERC_SUBSTITUTO_AFAST_MATERN%*(MOD_1_REMUNERACAO+MOD_2_ENCARGOS_BENEFICIOS+MOD_3_PROVISAO_RESCISAO)</f>
        <v>7.2274065318974072</v>
      </c>
    </row>
    <row r="71" spans="2:6" s="6" customFormat="1" x14ac:dyDescent="0.15">
      <c r="B71" s="33" t="s">
        <v>90</v>
      </c>
      <c r="C71" s="160" t="str">
        <f>OUTRAS_AUSENCIAS_DESCRICAO</f>
        <v>Outras Ausências (Especificar - em %)</v>
      </c>
      <c r="D71" s="160"/>
      <c r="E71" s="88">
        <f>PERC_SUBSTITUTO_OUTRAS_AUSENCIAS</f>
        <v>0</v>
      </c>
      <c r="F71" s="64">
        <f>PERC_SUBSTITUTO_OUTRAS_AUSENCIAS%*(MOD_1_REMUNERACAO+MOD_2_ENCARGOS_BENEFICIOS+MOD_3_PROVISAO_RESCISAO)</f>
        <v>0</v>
      </c>
    </row>
    <row r="72" spans="2:6" s="6" customFormat="1" x14ac:dyDescent="0.3">
      <c r="B72" s="138" t="s">
        <v>225</v>
      </c>
      <c r="C72" s="138"/>
      <c r="D72" s="138"/>
      <c r="E72" s="138"/>
      <c r="F72" s="85">
        <f>SUM(F66:F71)</f>
        <v>542.97449716549329</v>
      </c>
    </row>
    <row r="73" spans="2:6" s="6" customFormat="1" ht="15" customHeight="1" x14ac:dyDescent="0.3">
      <c r="B73" s="31" t="s">
        <v>114</v>
      </c>
      <c r="C73" s="43"/>
      <c r="D73" s="44"/>
      <c r="E73" s="45"/>
      <c r="F73" s="45"/>
    </row>
    <row r="74" spans="2:6" s="6" customFormat="1" x14ac:dyDescent="0.15">
      <c r="B74" s="12" t="s">
        <v>115</v>
      </c>
      <c r="C74" s="138" t="s">
        <v>116</v>
      </c>
      <c r="D74" s="138"/>
      <c r="E74" s="138"/>
      <c r="F74" s="33" t="s">
        <v>122</v>
      </c>
    </row>
    <row r="75" spans="2:6" s="6" customFormat="1" ht="16.5" customHeight="1" x14ac:dyDescent="0.15">
      <c r="B75" s="12" t="s">
        <v>14</v>
      </c>
      <c r="C75" s="143" t="s">
        <v>257</v>
      </c>
      <c r="D75" s="143"/>
      <c r="E75" s="143"/>
      <c r="F75" s="82">
        <f>IF(DIAS_TRABALHADOS_NO_MES=15,((MOD_1_REMUNERACAO+MOD_2_ENCARGOS_BENEFICIOS+MOD_3_PROVISAO_RESCISAO)/DIVISOR_DE_HORAS)*((TEMPO_INTERVALO_REFEICAO/HORA_NORMAL)+PERC_HORA_EXTRA%)*DIAS_TRABALHADOS_NO_MES,0)</f>
        <v>0</v>
      </c>
    </row>
    <row r="76" spans="2:6" s="6" customFormat="1" x14ac:dyDescent="0.3">
      <c r="B76" s="138" t="s">
        <v>225</v>
      </c>
      <c r="C76" s="138"/>
      <c r="D76" s="138"/>
      <c r="E76" s="138"/>
      <c r="F76" s="85">
        <f>SUM(F75)</f>
        <v>0</v>
      </c>
    </row>
    <row r="77" spans="2:6" ht="7.5" customHeight="1" x14ac:dyDescent="0.3">
      <c r="B77" s="87"/>
      <c r="D77" s="23"/>
      <c r="E77" s="32"/>
      <c r="F77" s="32"/>
    </row>
    <row r="78" spans="2:6" x14ac:dyDescent="0.3">
      <c r="B78" s="31" t="s">
        <v>120</v>
      </c>
      <c r="C78" s="43"/>
      <c r="D78" s="43"/>
      <c r="E78" s="45"/>
      <c r="F78" s="45"/>
    </row>
    <row r="79" spans="2:6" ht="15.75" customHeight="1" x14ac:dyDescent="0.3">
      <c r="B79" s="46">
        <v>5</v>
      </c>
      <c r="C79" s="139" t="s">
        <v>121</v>
      </c>
      <c r="D79" s="139"/>
      <c r="E79" s="139"/>
      <c r="F79" s="47" t="s">
        <v>122</v>
      </c>
    </row>
    <row r="80" spans="2:6" ht="16.5" customHeight="1" x14ac:dyDescent="0.3">
      <c r="B80" s="48" t="s">
        <v>14</v>
      </c>
      <c r="C80" s="140" t="s">
        <v>258</v>
      </c>
      <c r="D80" s="140"/>
      <c r="E80" s="140"/>
      <c r="F80" s="89">
        <f>'INSERÇÃO-DE-DADOS'!F85</f>
        <v>181.86</v>
      </c>
    </row>
    <row r="81" spans="2:6" ht="16.5" customHeight="1" x14ac:dyDescent="0.3">
      <c r="B81" s="48" t="s">
        <v>16</v>
      </c>
      <c r="C81" s="141" t="s">
        <v>259</v>
      </c>
      <c r="D81" s="141"/>
      <c r="E81" s="141"/>
      <c r="F81" s="90">
        <f>MATERIAIS</f>
        <v>0</v>
      </c>
    </row>
    <row r="82" spans="2:6" ht="16.5" customHeight="1" x14ac:dyDescent="0.3">
      <c r="B82" s="48" t="s">
        <v>19</v>
      </c>
      <c r="C82" s="140" t="s">
        <v>260</v>
      </c>
      <c r="D82" s="140"/>
      <c r="E82" s="140"/>
      <c r="F82" s="89">
        <f>EQUIPAMENTOS</f>
        <v>1.22</v>
      </c>
    </row>
    <row r="83" spans="2:6" x14ac:dyDescent="0.3">
      <c r="B83" s="48" t="s">
        <v>22</v>
      </c>
      <c r="C83" s="161" t="str">
        <f>OUTROS_INSUMOS_DESCRICAO</f>
        <v>Outros (Especificar)</v>
      </c>
      <c r="D83" s="161"/>
      <c r="E83" s="161"/>
      <c r="F83" s="90">
        <f>OUTROS_INSUMOS</f>
        <v>0</v>
      </c>
    </row>
    <row r="84" spans="2:6" ht="16.5" customHeight="1" x14ac:dyDescent="0.3">
      <c r="B84" s="139" t="s">
        <v>225</v>
      </c>
      <c r="C84" s="139"/>
      <c r="D84" s="139"/>
      <c r="E84" s="139"/>
      <c r="F84" s="91">
        <f>SUM(F80:F83)</f>
        <v>183.08</v>
      </c>
    </row>
    <row r="85" spans="2:6" ht="7.5" customHeight="1" x14ac:dyDescent="0.3">
      <c r="B85" s="87"/>
      <c r="D85" s="23"/>
      <c r="E85" s="32"/>
      <c r="F85" s="32"/>
    </row>
    <row r="86" spans="2:6" ht="15" customHeight="1" x14ac:dyDescent="0.3">
      <c r="B86" s="142" t="s">
        <v>159</v>
      </c>
      <c r="C86" s="142"/>
      <c r="D86" s="142"/>
      <c r="E86" s="142"/>
      <c r="F86" s="142"/>
    </row>
    <row r="87" spans="2:6" x14ac:dyDescent="0.3">
      <c r="B87" s="12">
        <v>6</v>
      </c>
      <c r="C87" s="138" t="s">
        <v>160</v>
      </c>
      <c r="D87" s="138"/>
      <c r="E87" s="33" t="s">
        <v>112</v>
      </c>
      <c r="F87" s="33" t="s">
        <v>122</v>
      </c>
    </row>
    <row r="88" spans="2:6" ht="16.5" customHeight="1" x14ac:dyDescent="0.3">
      <c r="B88" s="12" t="s">
        <v>14</v>
      </c>
      <c r="C88" s="143" t="s">
        <v>161</v>
      </c>
      <c r="D88" s="143"/>
      <c r="E88" s="92">
        <f>PERC_CUSTOS_INDIRETOS</f>
        <v>4.7300000000000004</v>
      </c>
      <c r="F88" s="63">
        <f>PERC_CUSTOS_INDIRETOS%*(MOD_1_REMUNERACAO+MOD_2_ENCARGOS_BENEFICIOS+MOD_3_PROVISAO_RESCISAO+MOD_4_CUSTO_REPOSICAO+MOD_5_INSUMOS)</f>
        <v>273.18697907881085</v>
      </c>
    </row>
    <row r="89" spans="2:6" ht="15.75" customHeight="1" x14ac:dyDescent="0.3">
      <c r="B89" s="33" t="s">
        <v>16</v>
      </c>
      <c r="C89" s="132" t="s">
        <v>162</v>
      </c>
      <c r="D89" s="132"/>
      <c r="E89" s="93">
        <f>PERC_LUCRO</f>
        <v>5.45</v>
      </c>
      <c r="F89" s="64">
        <f>PERC_LUCRO%*(MOD_1_REMUNERACAO+MOD_2_ENCARGOS_BENEFICIOS+MOD_3_PROVISAO_RESCISAO+MOD_4_CUSTO_REPOSICAO+MOD_5_INSUMOS+AL_6_A_CUSTOS_INDIRETOS)</f>
        <v>329.66015674024322</v>
      </c>
    </row>
    <row r="90" spans="2:6" ht="16.5" customHeight="1" x14ac:dyDescent="0.3">
      <c r="B90" s="33" t="s">
        <v>19</v>
      </c>
      <c r="C90" s="143" t="s">
        <v>261</v>
      </c>
      <c r="D90" s="143"/>
      <c r="E90" s="92">
        <f>SUM(E91:E93)</f>
        <v>8.65</v>
      </c>
      <c r="F90" s="63">
        <f>SUM(F91:F93)</f>
        <v>603.98214251957097</v>
      </c>
    </row>
    <row r="91" spans="2:6" ht="15.75" customHeight="1" x14ac:dyDescent="0.3">
      <c r="B91" s="54" t="s">
        <v>163</v>
      </c>
      <c r="C91" s="162" t="s">
        <v>164</v>
      </c>
      <c r="D91" s="162"/>
      <c r="E91" s="94">
        <f>PERC_PIS</f>
        <v>0.65</v>
      </c>
      <c r="F91" s="95">
        <f>((MOD_1_REMUNERACAO+MOD_2_ENCARGOS_BENEFICIOS+MOD_3_PROVISAO_RESCISAO+MOD_4_CUSTO_REPOSICAO+MOD_5_INSUMOS+AL_6_A_CUSTOS_INDIRETOS+AL_6_B_LUCRO)*PERC_PIS%)/(1-PERC_TRIBUTOS%)</f>
        <v>45.385941345401285</v>
      </c>
    </row>
    <row r="92" spans="2:6" ht="16.5" customHeight="1" x14ac:dyDescent="0.3">
      <c r="B92" s="54" t="s">
        <v>165</v>
      </c>
      <c r="C92" s="163" t="s">
        <v>166</v>
      </c>
      <c r="D92" s="163"/>
      <c r="E92" s="96">
        <f>PERC_COFINS</f>
        <v>3</v>
      </c>
      <c r="F92" s="97">
        <f>((MOD_1_REMUNERACAO+MOD_2_ENCARGOS_BENEFICIOS+MOD_3_PROVISAO_RESCISAO+MOD_4_CUSTO_REPOSICAO+MOD_5_INSUMOS+AL_6_A_CUSTOS_INDIRETOS+AL_6_B_LUCRO)*PERC_COFINS%)/(1-PERC_TRIBUTOS%)</f>
        <v>209.4735754403136</v>
      </c>
    </row>
    <row r="93" spans="2:6" s="50" customFormat="1" ht="16.5" customHeight="1" x14ac:dyDescent="0.3">
      <c r="B93" s="54" t="s">
        <v>167</v>
      </c>
      <c r="C93" s="162" t="s">
        <v>168</v>
      </c>
      <c r="D93" s="162"/>
      <c r="E93" s="94">
        <f>PERC_ISS</f>
        <v>5</v>
      </c>
      <c r="F93" s="95">
        <f>((MOD_1_REMUNERACAO+MOD_2_ENCARGOS_BENEFICIOS+MOD_3_PROVISAO_RESCISAO+MOD_4_CUSTO_REPOSICAO+MOD_5_INSUMOS+AL_6_A_CUSTOS_INDIRETOS+AL_6_B_LUCRO)*PERC_ISS%)/(1-PERC_TRIBUTOS%)</f>
        <v>349.12262573385607</v>
      </c>
    </row>
    <row r="94" spans="2:6" s="50" customFormat="1" x14ac:dyDescent="0.3">
      <c r="B94" s="138" t="s">
        <v>225</v>
      </c>
      <c r="C94" s="138"/>
      <c r="D94" s="138"/>
      <c r="E94" s="138"/>
      <c r="F94" s="98">
        <f>AL_6_A_CUSTOS_INDIRETOS+AL_6_B_LUCRO+AL_6_C_TRIBUTOS</f>
        <v>1206.829278338625</v>
      </c>
    </row>
    <row r="95" spans="2:6" s="50" customFormat="1" ht="20.25" x14ac:dyDescent="0.3">
      <c r="B95" s="99" t="s">
        <v>262</v>
      </c>
      <c r="C95" s="100"/>
      <c r="D95" s="100"/>
      <c r="E95" s="100"/>
      <c r="F95" s="101"/>
    </row>
    <row r="96" spans="2:6" s="51" customFormat="1" ht="16.5" customHeight="1" x14ac:dyDescent="0.3">
      <c r="B96" s="33" t="s">
        <v>263</v>
      </c>
      <c r="C96" s="133" t="s">
        <v>264</v>
      </c>
      <c r="D96" s="133"/>
      <c r="E96" s="133"/>
      <c r="F96" s="33" t="s">
        <v>265</v>
      </c>
    </row>
    <row r="97" spans="2:6" s="50" customFormat="1" ht="16.5" customHeight="1" x14ac:dyDescent="0.3">
      <c r="B97" s="12">
        <v>1</v>
      </c>
      <c r="C97" s="143" t="s">
        <v>70</v>
      </c>
      <c r="D97" s="143"/>
      <c r="E97" s="143"/>
      <c r="F97" s="63">
        <f>MOD_1_REMUNERACAO</f>
        <v>2574.37</v>
      </c>
    </row>
    <row r="98" spans="2:6" s="52" customFormat="1" ht="16.5" customHeight="1" x14ac:dyDescent="0.3">
      <c r="B98" s="33">
        <v>2</v>
      </c>
      <c r="C98" s="132" t="s">
        <v>266</v>
      </c>
      <c r="D98" s="132"/>
      <c r="E98" s="132"/>
      <c r="F98" s="64">
        <f>MOD_2_ENCARGOS_BENEFICIOS</f>
        <v>2404.4201999999996</v>
      </c>
    </row>
    <row r="99" spans="2:6" s="52" customFormat="1" ht="16.5" customHeight="1" x14ac:dyDescent="0.3">
      <c r="B99" s="33">
        <v>3</v>
      </c>
      <c r="C99" s="143" t="s">
        <v>186</v>
      </c>
      <c r="D99" s="143"/>
      <c r="E99" s="143"/>
      <c r="F99" s="63">
        <f>MOD_3_PROVISAO_RESCISAO</f>
        <v>70.778539173002741</v>
      </c>
    </row>
    <row r="100" spans="2:6" s="52" customFormat="1" ht="16.5" customHeight="1" x14ac:dyDescent="0.3">
      <c r="B100" s="33">
        <v>4</v>
      </c>
      <c r="C100" s="132" t="s">
        <v>267</v>
      </c>
      <c r="D100" s="132"/>
      <c r="E100" s="132"/>
      <c r="F100" s="64">
        <f>MOD_4_CUSTO_REPOSICAO</f>
        <v>542.97449716549329</v>
      </c>
    </row>
    <row r="101" spans="2:6" s="52" customFormat="1" ht="16.5" customHeight="1" x14ac:dyDescent="0.3">
      <c r="B101" s="33">
        <v>5</v>
      </c>
      <c r="C101" s="143" t="s">
        <v>121</v>
      </c>
      <c r="D101" s="143"/>
      <c r="E101" s="143"/>
      <c r="F101" s="63">
        <f>MOD_5_INSUMOS</f>
        <v>183.08</v>
      </c>
    </row>
    <row r="102" spans="2:6" s="52" customFormat="1" ht="16.5" customHeight="1" x14ac:dyDescent="0.3">
      <c r="B102" s="33">
        <v>6</v>
      </c>
      <c r="C102" s="132" t="s">
        <v>160</v>
      </c>
      <c r="D102" s="132"/>
      <c r="E102" s="132"/>
      <c r="F102" s="64">
        <f>MOD_6_CUSTOS_IND_LUCRO_TRIB</f>
        <v>1206.829278338625</v>
      </c>
    </row>
    <row r="103" spans="2:6" ht="16.5" customHeight="1" x14ac:dyDescent="0.3">
      <c r="B103" s="133" t="s">
        <v>268</v>
      </c>
      <c r="C103" s="133"/>
      <c r="D103" s="133"/>
      <c r="E103" s="133"/>
      <c r="F103" s="98">
        <f>SUM(F97:F102)</f>
        <v>6982.4525146771211</v>
      </c>
    </row>
    <row r="104" spans="2:6" ht="16.5" customHeight="1" x14ac:dyDescent="0.3">
      <c r="B104" s="133" t="s">
        <v>269</v>
      </c>
      <c r="C104" s="133"/>
      <c r="D104" s="133"/>
      <c r="E104" s="133"/>
      <c r="F104" s="98">
        <f>VALOR_TOTAL_EMPREGADO*EMPREG_POR_POSTO</f>
        <v>6982.4525146771211</v>
      </c>
    </row>
    <row r="105" spans="2:6" ht="16.5" customHeight="1" x14ac:dyDescent="0.3">
      <c r="B105" s="133" t="s">
        <v>270</v>
      </c>
      <c r="C105" s="133"/>
      <c r="D105" s="133"/>
      <c r="E105" s="133"/>
      <c r="F105" s="98">
        <f>(VALOR_TOTAL_EMPREGADO*EMPREG_POR_POSTO*'INSERÇÃO-DE-DADOS'!F25)-0.01</f>
        <v>20947.347544031367</v>
      </c>
    </row>
    <row r="107" spans="2:6" x14ac:dyDescent="0.3">
      <c r="B107" s="4" t="s">
        <v>271</v>
      </c>
    </row>
  </sheetData>
  <mergeCells count="93">
    <mergeCell ref="C102:E102"/>
    <mergeCell ref="B103:E103"/>
    <mergeCell ref="B104:E104"/>
    <mergeCell ref="B105:E105"/>
    <mergeCell ref="C96:E96"/>
    <mergeCell ref="C97:E97"/>
    <mergeCell ref="C98:E98"/>
    <mergeCell ref="C99:E99"/>
    <mergeCell ref="C100:E100"/>
    <mergeCell ref="C101:E101"/>
    <mergeCell ref="B94:E94"/>
    <mergeCell ref="C82:E82"/>
    <mergeCell ref="C83:E83"/>
    <mergeCell ref="B84:E84"/>
    <mergeCell ref="B86:F86"/>
    <mergeCell ref="C87:D87"/>
    <mergeCell ref="C88:D88"/>
    <mergeCell ref="C89:D89"/>
    <mergeCell ref="C90:D90"/>
    <mergeCell ref="C91:D91"/>
    <mergeCell ref="C92:D92"/>
    <mergeCell ref="C93:D93"/>
    <mergeCell ref="C81:E81"/>
    <mergeCell ref="C67:D67"/>
    <mergeCell ref="C68:D68"/>
    <mergeCell ref="C69:D69"/>
    <mergeCell ref="C70:D70"/>
    <mergeCell ref="C71:D71"/>
    <mergeCell ref="B72:E72"/>
    <mergeCell ref="C74:E74"/>
    <mergeCell ref="C75:E75"/>
    <mergeCell ref="B76:E76"/>
    <mergeCell ref="C79:E79"/>
    <mergeCell ref="C80:E80"/>
    <mergeCell ref="C66:D66"/>
    <mergeCell ref="C51:E51"/>
    <mergeCell ref="C52:E52"/>
    <mergeCell ref="C53:E53"/>
    <mergeCell ref="C54:E54"/>
    <mergeCell ref="B55:E55"/>
    <mergeCell ref="C57:D57"/>
    <mergeCell ref="C58:D58"/>
    <mergeCell ref="C59:D59"/>
    <mergeCell ref="C60:D60"/>
    <mergeCell ref="B61:E61"/>
    <mergeCell ref="C65:D65"/>
    <mergeCell ref="C50:E50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B47:E47"/>
    <mergeCell ref="C49:E49"/>
    <mergeCell ref="B37:F37"/>
    <mergeCell ref="C24:E24"/>
    <mergeCell ref="C25:E25"/>
    <mergeCell ref="C26:E26"/>
    <mergeCell ref="C27:E27"/>
    <mergeCell ref="C28:E28"/>
    <mergeCell ref="C29:E29"/>
    <mergeCell ref="B30:E30"/>
    <mergeCell ref="C33:D33"/>
    <mergeCell ref="C34:D34"/>
    <mergeCell ref="C35:D35"/>
    <mergeCell ref="B36:E36"/>
    <mergeCell ref="C23:E23"/>
    <mergeCell ref="C11:E11"/>
    <mergeCell ref="C12:E12"/>
    <mergeCell ref="D15:F15"/>
    <mergeCell ref="D16:F16"/>
    <mergeCell ref="D14:F14"/>
    <mergeCell ref="C17:E17"/>
    <mergeCell ref="B18:F18"/>
    <mergeCell ref="B19:E19"/>
    <mergeCell ref="C21:E21"/>
    <mergeCell ref="C22:E22"/>
    <mergeCell ref="C10:E10"/>
    <mergeCell ref="B1:F1"/>
    <mergeCell ref="B2:D2"/>
    <mergeCell ref="B3:F3"/>
    <mergeCell ref="B4:F4"/>
    <mergeCell ref="B5:C5"/>
    <mergeCell ref="D5:F5"/>
    <mergeCell ref="B6:C6"/>
    <mergeCell ref="D6:E6"/>
    <mergeCell ref="B7:F7"/>
    <mergeCell ref="C8:E8"/>
    <mergeCell ref="D9:F9"/>
  </mergeCells>
  <pageMargins left="0.511811024" right="0.511811024" top="0.78740157499999996" bottom="0.78740157499999996" header="0.31496062000000002" footer="0.31496062000000002"/>
  <pageSetup paperSize="9" scale="4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DDBC-2E0F-4038-B016-8A305D14AB30}">
  <sheetPr>
    <pageSetUpPr fitToPage="1"/>
  </sheetPr>
  <dimension ref="B1:H18"/>
  <sheetViews>
    <sheetView workbookViewId="0">
      <selection activeCell="H25" sqref="H25"/>
    </sheetView>
  </sheetViews>
  <sheetFormatPr defaultColWidth="9.140625" defaultRowHeight="14.25" x14ac:dyDescent="0.25"/>
  <cols>
    <col min="1" max="1" width="1.7109375" style="121" customWidth="1"/>
    <col min="2" max="2" width="6" style="121" customWidth="1"/>
    <col min="3" max="3" width="36.85546875" style="121" customWidth="1"/>
    <col min="4" max="4" width="22.85546875" style="121" customWidth="1"/>
    <col min="5" max="6" width="16.140625" style="121" customWidth="1"/>
    <col min="7" max="7" width="15.7109375" style="121" customWidth="1"/>
    <col min="8" max="8" width="18.85546875" style="121" customWidth="1"/>
    <col min="9" max="16384" width="9.140625" style="121"/>
  </cols>
  <sheetData>
    <row r="1" spans="2:8" s="105" customFormat="1" ht="20.25" x14ac:dyDescent="0.35">
      <c r="B1" s="172" t="str">
        <f>RAMO</f>
        <v>RAMO: ESCOLA SUPERIOR DO MINISTÉRIO PÚBLICO DA UNIÃO</v>
      </c>
      <c r="C1" s="173"/>
      <c r="D1" s="173"/>
      <c r="E1" s="173"/>
      <c r="F1" s="173"/>
      <c r="G1" s="174"/>
    </row>
    <row r="2" spans="2:8" s="105" customFormat="1" ht="20.25" x14ac:dyDescent="0.35">
      <c r="B2" s="175" t="str">
        <f>UG</f>
        <v>UNIDADE GESTORA (SIGLA): ESMPU</v>
      </c>
      <c r="C2" s="176"/>
      <c r="D2" s="177"/>
      <c r="E2" s="106" t="s">
        <v>2</v>
      </c>
      <c r="F2" s="106"/>
      <c r="G2" s="107" t="str">
        <f>DATA_APRESENTACAO_PROPOSTA</f>
        <v>XX/XX/20XX</v>
      </c>
    </row>
    <row r="3" spans="2:8" s="105" customFormat="1" ht="16.5" x14ac:dyDescent="0.3">
      <c r="B3" s="108"/>
      <c r="C3" s="108"/>
      <c r="D3" s="108"/>
      <c r="E3" s="108"/>
      <c r="F3" s="108"/>
      <c r="G3" s="108"/>
    </row>
    <row r="4" spans="2:8" s="105" customFormat="1" ht="20.25" x14ac:dyDescent="0.3">
      <c r="B4" s="178" t="s">
        <v>272</v>
      </c>
      <c r="C4" s="178"/>
      <c r="D4" s="178"/>
      <c r="E4" s="178"/>
      <c r="F4" s="178"/>
      <c r="G4" s="178"/>
      <c r="H4" s="178"/>
    </row>
    <row r="5" spans="2:8" s="105" customFormat="1" ht="49.5" x14ac:dyDescent="0.3">
      <c r="B5" s="109" t="s">
        <v>273</v>
      </c>
      <c r="C5" s="110" t="s">
        <v>29</v>
      </c>
      <c r="D5" s="111" t="s">
        <v>274</v>
      </c>
      <c r="E5" s="111" t="s">
        <v>275</v>
      </c>
      <c r="F5" s="18" t="s">
        <v>276</v>
      </c>
      <c r="G5" s="111" t="s">
        <v>277</v>
      </c>
      <c r="H5" s="112" t="s">
        <v>278</v>
      </c>
    </row>
    <row r="6" spans="2:8" s="105" customFormat="1" ht="16.5" x14ac:dyDescent="0.3">
      <c r="B6" s="109" t="s">
        <v>176</v>
      </c>
      <c r="C6" s="113" t="str">
        <f>'INSERÇÃO-DE-DADOS'!C19</f>
        <v>Assistente Administrativo</v>
      </c>
      <c r="D6" s="114" t="str">
        <f t="shared" ref="D6:D12" si="0">IF(LOCAL_DE_EXECUCAO="","",LOCAL_DE_EXECUCAO)</f>
        <v>SEDE DA ESMPU</v>
      </c>
      <c r="E6" s="114">
        <f>'INSERÇÃO-DE-DADOS'!E19</f>
        <v>1</v>
      </c>
      <c r="F6" s="114">
        <f>'INSERÇÃO-DE-DADOS'!F19</f>
        <v>32</v>
      </c>
      <c r="G6" s="115">
        <f>'ASSISTENTE ADMINISTRATIVO'!F104</f>
        <v>6999.0470745376388</v>
      </c>
      <c r="H6" s="115">
        <f>'ASSISTENTE ADMINISTRATIVO'!F105</f>
        <v>223969.59638520444</v>
      </c>
    </row>
    <row r="7" spans="2:8" s="105" customFormat="1" ht="16.5" x14ac:dyDescent="0.3">
      <c r="B7" s="109" t="s">
        <v>279</v>
      </c>
      <c r="C7" s="113" t="str">
        <f>'INSERÇÃO-DE-DADOS'!C20</f>
        <v>Carregador</v>
      </c>
      <c r="D7" s="114" t="str">
        <f t="shared" si="0"/>
        <v>SEDE DA ESMPU</v>
      </c>
      <c r="E7" s="114">
        <f>'INSERÇÃO-DE-DADOS'!E20</f>
        <v>1</v>
      </c>
      <c r="F7" s="114">
        <f>'INSERÇÃO-DE-DADOS'!F20</f>
        <v>3</v>
      </c>
      <c r="G7" s="115">
        <f>CARREGADOR!F104</f>
        <v>5193.676829449375</v>
      </c>
      <c r="H7" s="115">
        <f>CARREGADOR!F105</f>
        <v>15581.040488348126</v>
      </c>
    </row>
    <row r="8" spans="2:8" s="105" customFormat="1" ht="16.5" x14ac:dyDescent="0.3">
      <c r="B8" s="109" t="s">
        <v>280</v>
      </c>
      <c r="C8" s="113" t="str">
        <f>'INSERÇÃO-DE-DADOS'!C21</f>
        <v>Copeiro</v>
      </c>
      <c r="D8" s="114" t="str">
        <f t="shared" si="0"/>
        <v>SEDE DA ESMPU</v>
      </c>
      <c r="E8" s="114">
        <f>'INSERÇÃO-DE-DADOS'!E21</f>
        <v>1</v>
      </c>
      <c r="F8" s="114">
        <f>'INSERÇÃO-DE-DADOS'!F21</f>
        <v>2</v>
      </c>
      <c r="G8" s="115">
        <f>COPEIRO!F104</f>
        <v>5818.6304988533166</v>
      </c>
      <c r="H8" s="115">
        <f>COPEIRO!F105</f>
        <v>11637.260997706633</v>
      </c>
    </row>
    <row r="9" spans="2:8" s="105" customFormat="1" ht="16.5" x14ac:dyDescent="0.3">
      <c r="B9" s="109" t="s">
        <v>281</v>
      </c>
      <c r="C9" s="113" t="str">
        <f>'INSERÇÃO-DE-DADOS'!C22</f>
        <v>Encarregado geral</v>
      </c>
      <c r="D9" s="114" t="str">
        <f t="shared" si="0"/>
        <v>SEDE DA ESMPU</v>
      </c>
      <c r="E9" s="114">
        <f>'INSERÇÃO-DE-DADOS'!E22</f>
        <v>1</v>
      </c>
      <c r="F9" s="114">
        <f>'INSERÇÃO-DE-DADOS'!F22</f>
        <v>1</v>
      </c>
      <c r="G9" s="115">
        <f>'ENCARREGADO GERAL'!F104</f>
        <v>10307.615905227291</v>
      </c>
      <c r="H9" s="115">
        <f>'ENCARREGADO GERAL'!F105</f>
        <v>10307.615905227291</v>
      </c>
    </row>
    <row r="10" spans="2:8" s="105" customFormat="1" ht="16.5" x14ac:dyDescent="0.3">
      <c r="B10" s="109" t="s">
        <v>282</v>
      </c>
      <c r="C10" s="113" t="str">
        <f>'INSERÇÃO-DE-DADOS'!C23</f>
        <v>Garçom</v>
      </c>
      <c r="D10" s="114" t="str">
        <f t="shared" si="0"/>
        <v>SEDE DA ESMPU</v>
      </c>
      <c r="E10" s="114">
        <f>'INSERÇÃO-DE-DADOS'!E23</f>
        <v>1</v>
      </c>
      <c r="F10" s="114">
        <f>'INSERÇÃO-DE-DADOS'!F23</f>
        <v>2</v>
      </c>
      <c r="G10" s="115">
        <f>GARÇOM!F104</f>
        <v>7004.276191711604</v>
      </c>
      <c r="H10" s="115">
        <f>GARÇOM!F105</f>
        <v>14008.562383423208</v>
      </c>
    </row>
    <row r="11" spans="2:8" s="105" customFormat="1" ht="16.5" x14ac:dyDescent="0.3">
      <c r="B11" s="109" t="s">
        <v>283</v>
      </c>
      <c r="C11" s="113" t="str">
        <f>'INSERÇÃO-DE-DADOS'!C24</f>
        <v>Operador de máquina reprográfica</v>
      </c>
      <c r="D11" s="114" t="str">
        <f t="shared" si="0"/>
        <v>SEDE DA ESMPU</v>
      </c>
      <c r="E11" s="114">
        <f>'INSERÇÃO-DE-DADOS'!E24</f>
        <v>1</v>
      </c>
      <c r="F11" s="114">
        <f>'INSERÇÃO-DE-DADOS'!F24</f>
        <v>1</v>
      </c>
      <c r="G11" s="115">
        <f>'OPERADOR DE MÁQ. REPROGRÁFICA'!F104</f>
        <v>5335.6419987400159</v>
      </c>
      <c r="H11" s="115">
        <f>'OPERADOR DE MÁQ. REPROGRÁFICA'!F105</f>
        <v>5335.6419987400159</v>
      </c>
    </row>
    <row r="12" spans="2:8" s="105" customFormat="1" ht="16.5" x14ac:dyDescent="0.3">
      <c r="B12" s="109" t="s">
        <v>284</v>
      </c>
      <c r="C12" s="113" t="str">
        <f>'INSERÇÃO-DE-DADOS'!C25</f>
        <v>Recepcionista</v>
      </c>
      <c r="D12" s="114" t="str">
        <f t="shared" si="0"/>
        <v>SEDE DA ESMPU</v>
      </c>
      <c r="E12" s="114">
        <f>'INSERÇÃO-DE-DADOS'!E25</f>
        <v>1</v>
      </c>
      <c r="F12" s="114">
        <f>'INSERÇÃO-DE-DADOS'!F25</f>
        <v>3</v>
      </c>
      <c r="G12" s="116">
        <f>RECEPCIONISTA!F104</f>
        <v>6982.4525146771211</v>
      </c>
      <c r="H12" s="116">
        <f>RECEPCIONISTA!F105</f>
        <v>20947.347544031367</v>
      </c>
    </row>
    <row r="13" spans="2:8" s="105" customFormat="1" ht="16.5" x14ac:dyDescent="0.3">
      <c r="B13" s="169" t="s">
        <v>285</v>
      </c>
      <c r="C13" s="170"/>
      <c r="D13" s="171"/>
      <c r="E13" s="117">
        <f>IF(SUM(E6:E12)=0,"",SUM(E6:E12))</f>
        <v>7</v>
      </c>
      <c r="F13" s="117">
        <f>IF(SUM(F6:F12)=0,"",SUM(F6:F12))</f>
        <v>44</v>
      </c>
      <c r="G13" s="118"/>
      <c r="H13" s="119">
        <f>IF(SUM(H6:H12)=0,"",SUM(H6:H12))</f>
        <v>301787.06570268114</v>
      </c>
    </row>
    <row r="14" spans="2:8" s="105" customFormat="1" ht="16.5" x14ac:dyDescent="0.3">
      <c r="B14" s="168" t="s">
        <v>286</v>
      </c>
      <c r="C14" s="168"/>
      <c r="D14" s="168"/>
      <c r="E14" s="117"/>
      <c r="F14" s="117"/>
      <c r="G14" s="118"/>
      <c r="H14" s="122">
        <f>'INSERÇÃO-DE-DADOS'!F26</f>
        <v>44</v>
      </c>
    </row>
    <row r="15" spans="2:8" s="105" customFormat="1" ht="16.5" x14ac:dyDescent="0.3">
      <c r="B15" s="168" t="s">
        <v>287</v>
      </c>
      <c r="C15" s="168"/>
      <c r="D15" s="168"/>
      <c r="E15" s="117"/>
      <c r="F15" s="117"/>
      <c r="G15" s="118"/>
      <c r="H15" s="119">
        <v>200</v>
      </c>
    </row>
    <row r="16" spans="2:8" s="105" customFormat="1" ht="16.5" x14ac:dyDescent="0.3">
      <c r="B16" s="168" t="s">
        <v>288</v>
      </c>
      <c r="C16" s="168"/>
      <c r="D16" s="168"/>
      <c r="E16" s="117"/>
      <c r="F16" s="117"/>
      <c r="G16" s="118"/>
      <c r="H16" s="119">
        <v>13.64</v>
      </c>
    </row>
    <row r="17" spans="2:8" s="105" customFormat="1" ht="16.5" x14ac:dyDescent="0.3">
      <c r="B17" s="168" t="s">
        <v>289</v>
      </c>
      <c r="C17" s="168"/>
      <c r="D17" s="168"/>
      <c r="E17" s="117"/>
      <c r="F17" s="117"/>
      <c r="G17" s="118"/>
      <c r="H17" s="120">
        <f>H13+((H14*(H15+H16)))</f>
        <v>311187.22570268111</v>
      </c>
    </row>
    <row r="18" spans="2:8" s="105" customFormat="1" ht="16.5" x14ac:dyDescent="0.3">
      <c r="B18" s="169" t="s">
        <v>290</v>
      </c>
      <c r="C18" s="170"/>
      <c r="D18" s="171"/>
      <c r="E18" s="117"/>
      <c r="F18" s="117"/>
      <c r="G18" s="118"/>
      <c r="H18" s="120">
        <f>(H17*12)+0.05</f>
        <v>3734246.7584321732</v>
      </c>
    </row>
  </sheetData>
  <mergeCells count="9">
    <mergeCell ref="B16:D16"/>
    <mergeCell ref="B17:D17"/>
    <mergeCell ref="B18:D18"/>
    <mergeCell ref="B1:G1"/>
    <mergeCell ref="B2:D2"/>
    <mergeCell ref="B4:H4"/>
    <mergeCell ref="B13:D13"/>
    <mergeCell ref="B14:D14"/>
    <mergeCell ref="B15:D1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2"/>
  <sheetViews>
    <sheetView zoomScaleNormal="100" workbookViewId="0">
      <selection activeCell="C29" sqref="C29:E29"/>
    </sheetView>
  </sheetViews>
  <sheetFormatPr defaultColWidth="9.140625" defaultRowHeight="16.5" x14ac:dyDescent="0.3"/>
  <cols>
    <col min="1" max="1" width="2.7109375" style="4" customWidth="1"/>
    <col min="2" max="2" width="8.85546875" style="4" customWidth="1"/>
    <col min="3" max="3" width="52.5703125" style="4" customWidth="1"/>
    <col min="4" max="4" width="9.5703125" style="4" customWidth="1"/>
    <col min="5" max="5" width="13.5703125" style="4" customWidth="1"/>
    <col min="6" max="6" width="15.42578125" style="4" customWidth="1"/>
    <col min="7" max="1024" width="9.140625" style="4"/>
  </cols>
  <sheetData>
    <row r="1" spans="1:6" s="6" customFormat="1" ht="25.5" x14ac:dyDescent="0.5">
      <c r="B1" s="30" t="s">
        <v>171</v>
      </c>
      <c r="C1" s="4"/>
      <c r="D1" s="4"/>
      <c r="E1" s="4"/>
      <c r="F1" s="4"/>
    </row>
    <row r="2" spans="1:6" x14ac:dyDescent="0.3">
      <c r="B2" s="31" t="s">
        <v>69</v>
      </c>
      <c r="E2" s="32"/>
      <c r="F2" s="32"/>
    </row>
    <row r="3" spans="1:6" ht="33" customHeight="1" x14ac:dyDescent="0.3">
      <c r="B3" s="12">
        <v>1</v>
      </c>
      <c r="C3" s="133" t="s">
        <v>70</v>
      </c>
      <c r="D3" s="133"/>
      <c r="E3" s="133"/>
      <c r="F3" s="33" t="s">
        <v>172</v>
      </c>
    </row>
    <row r="4" spans="1:6" ht="16.5" customHeight="1" x14ac:dyDescent="0.3">
      <c r="B4" s="12" t="s">
        <v>25</v>
      </c>
      <c r="C4" s="143" t="s">
        <v>173</v>
      </c>
      <c r="D4" s="143"/>
      <c r="E4" s="143"/>
      <c r="F4" s="58">
        <v>220</v>
      </c>
    </row>
    <row r="5" spans="1:6" ht="16.5" customHeight="1" x14ac:dyDescent="0.3">
      <c r="B5" s="12" t="s">
        <v>90</v>
      </c>
      <c r="C5" s="135" t="s">
        <v>174</v>
      </c>
      <c r="D5" s="135"/>
      <c r="E5" s="135"/>
      <c r="F5" s="59">
        <v>7</v>
      </c>
    </row>
    <row r="6" spans="1:6" ht="16.5" customHeight="1" x14ac:dyDescent="0.3">
      <c r="B6" s="12" t="s">
        <v>92</v>
      </c>
      <c r="C6" s="143" t="s">
        <v>175</v>
      </c>
      <c r="D6" s="143"/>
      <c r="E6" s="143"/>
      <c r="F6" s="58">
        <v>365</v>
      </c>
    </row>
    <row r="7" spans="1:6" ht="16.5" customHeight="1" x14ac:dyDescent="0.3">
      <c r="B7" s="12" t="s">
        <v>176</v>
      </c>
      <c r="C7" s="135" t="s">
        <v>177</v>
      </c>
      <c r="D7" s="135"/>
      <c r="E7" s="135"/>
      <c r="F7" s="60">
        <v>15.2</v>
      </c>
    </row>
    <row r="8" spans="1:6" ht="16.5" customHeight="1" x14ac:dyDescent="0.3">
      <c r="B8" s="12" t="s">
        <v>178</v>
      </c>
      <c r="C8" s="143" t="s">
        <v>179</v>
      </c>
      <c r="D8" s="143"/>
      <c r="E8" s="143"/>
      <c r="F8" s="58">
        <v>12</v>
      </c>
    </row>
    <row r="9" spans="1:6" ht="16.5" customHeight="1" x14ac:dyDescent="0.3">
      <c r="B9" s="12" t="s">
        <v>180</v>
      </c>
      <c r="C9" s="135" t="s">
        <v>181</v>
      </c>
      <c r="D9" s="135"/>
      <c r="E9" s="135"/>
      <c r="F9" s="59">
        <v>60</v>
      </c>
    </row>
    <row r="10" spans="1:6" ht="16.5" customHeight="1" x14ac:dyDescent="0.3">
      <c r="B10" s="12" t="s">
        <v>182</v>
      </c>
      <c r="C10" s="143" t="s">
        <v>183</v>
      </c>
      <c r="D10" s="143"/>
      <c r="E10" s="143"/>
      <c r="F10" s="61">
        <v>52.5</v>
      </c>
    </row>
    <row r="11" spans="1:6" s="36" customFormat="1" x14ac:dyDescent="0.3"/>
    <row r="12" spans="1:6" s="36" customFormat="1" x14ac:dyDescent="0.3">
      <c r="A12" s="4"/>
      <c r="B12" s="31" t="s">
        <v>95</v>
      </c>
      <c r="C12" s="6"/>
      <c r="D12" s="6"/>
      <c r="E12" s="6"/>
      <c r="F12" s="6"/>
    </row>
    <row r="13" spans="1:6" s="36" customFormat="1" ht="15" customHeight="1" x14ac:dyDescent="0.3">
      <c r="A13" s="4"/>
      <c r="B13" s="12" t="s">
        <v>96</v>
      </c>
      <c r="C13" s="133" t="s">
        <v>97</v>
      </c>
      <c r="D13" s="133"/>
      <c r="E13" s="33" t="s">
        <v>98</v>
      </c>
      <c r="F13" s="33" t="s">
        <v>112</v>
      </c>
    </row>
    <row r="14" spans="1:6" s="36" customFormat="1" x14ac:dyDescent="0.3">
      <c r="B14" s="38" t="s">
        <v>19</v>
      </c>
      <c r="C14" s="128" t="s">
        <v>184</v>
      </c>
      <c r="D14" s="128"/>
      <c r="E14" s="40" t="s">
        <v>104</v>
      </c>
      <c r="F14" s="62">
        <v>6</v>
      </c>
    </row>
    <row r="15" spans="1:6" s="36" customFormat="1" x14ac:dyDescent="0.3"/>
    <row r="16" spans="1:6" s="6" customFormat="1" x14ac:dyDescent="0.3">
      <c r="A16" s="36"/>
      <c r="B16" s="31" t="s">
        <v>185</v>
      </c>
      <c r="C16" s="43"/>
      <c r="D16" s="44"/>
      <c r="E16" s="45"/>
      <c r="F16" s="45"/>
    </row>
    <row r="17" spans="1:6" s="6" customFormat="1" x14ac:dyDescent="0.3">
      <c r="A17" s="36"/>
      <c r="B17" s="12">
        <v>3</v>
      </c>
      <c r="C17" s="138" t="s">
        <v>186</v>
      </c>
      <c r="D17" s="138"/>
      <c r="E17" s="138"/>
      <c r="F17" s="33" t="s">
        <v>187</v>
      </c>
    </row>
    <row r="18" spans="1:6" s="6" customFormat="1" ht="16.5" customHeight="1" x14ac:dyDescent="0.3">
      <c r="A18" s="36"/>
      <c r="B18" s="12" t="s">
        <v>14</v>
      </c>
      <c r="C18" s="143" t="s">
        <v>188</v>
      </c>
      <c r="D18" s="143"/>
      <c r="E18" s="143"/>
      <c r="F18" s="63">
        <v>62.93</v>
      </c>
    </row>
    <row r="19" spans="1:6" x14ac:dyDescent="0.3">
      <c r="A19" s="36"/>
      <c r="B19" s="33" t="s">
        <v>16</v>
      </c>
      <c r="C19" s="145" t="s">
        <v>189</v>
      </c>
      <c r="D19" s="145"/>
      <c r="E19" s="145"/>
      <c r="F19" s="64">
        <v>5.55</v>
      </c>
    </row>
    <row r="20" spans="1:6" s="6" customFormat="1" ht="15.95" customHeight="1" x14ac:dyDescent="0.15">
      <c r="B20" s="33" t="s">
        <v>19</v>
      </c>
      <c r="C20" s="143" t="s">
        <v>190</v>
      </c>
      <c r="D20" s="143"/>
      <c r="E20" s="143"/>
      <c r="F20" s="65">
        <v>40</v>
      </c>
    </row>
    <row r="21" spans="1:6" ht="16.5" customHeight="1" x14ac:dyDescent="0.3">
      <c r="A21" s="36"/>
      <c r="B21" s="33" t="s">
        <v>22</v>
      </c>
      <c r="C21" s="145" t="s">
        <v>191</v>
      </c>
      <c r="D21" s="145"/>
      <c r="E21" s="145"/>
      <c r="F21" s="62">
        <v>94.45</v>
      </c>
    </row>
    <row r="22" spans="1:6" ht="16.5" customHeight="1" x14ac:dyDescent="0.3">
      <c r="A22" s="36"/>
      <c r="B22" s="33" t="s">
        <v>25</v>
      </c>
      <c r="C22" s="143" t="s">
        <v>192</v>
      </c>
      <c r="D22" s="143"/>
      <c r="E22" s="143"/>
      <c r="F22" s="65">
        <v>30</v>
      </c>
    </row>
    <row r="23" spans="1:6" s="36" customFormat="1" x14ac:dyDescent="0.3"/>
    <row r="24" spans="1:6" s="6" customFormat="1" x14ac:dyDescent="0.3">
      <c r="B24" s="31" t="s">
        <v>108</v>
      </c>
      <c r="C24" s="43"/>
      <c r="D24" s="44"/>
      <c r="E24" s="4"/>
      <c r="F24" s="4"/>
    </row>
    <row r="25" spans="1:6" s="6" customFormat="1" ht="15" customHeight="1" x14ac:dyDescent="0.3">
      <c r="B25" s="31" t="s">
        <v>109</v>
      </c>
      <c r="C25" s="43"/>
      <c r="D25" s="44"/>
      <c r="E25" s="45"/>
      <c r="F25" s="45"/>
    </row>
    <row r="26" spans="1:6" s="6" customFormat="1" ht="16.5" customHeight="1" x14ac:dyDescent="0.15">
      <c r="B26" s="12" t="s">
        <v>110</v>
      </c>
      <c r="C26" s="133" t="s">
        <v>111</v>
      </c>
      <c r="D26" s="133"/>
      <c r="E26" s="133"/>
      <c r="F26" s="33" t="s">
        <v>187</v>
      </c>
    </row>
    <row r="27" spans="1:6" s="6" customFormat="1" ht="16.5" customHeight="1" x14ac:dyDescent="0.15">
      <c r="B27" s="12" t="s">
        <v>14</v>
      </c>
      <c r="C27" s="143" t="s">
        <v>193</v>
      </c>
      <c r="D27" s="143"/>
      <c r="E27" s="143"/>
      <c r="F27" s="65">
        <v>8</v>
      </c>
    </row>
    <row r="28" spans="1:6" ht="16.5" customHeight="1" x14ac:dyDescent="0.3">
      <c r="A28" s="6"/>
      <c r="B28" s="33" t="s">
        <v>16</v>
      </c>
      <c r="C28" s="132" t="s">
        <v>194</v>
      </c>
      <c r="D28" s="132"/>
      <c r="E28" s="132"/>
      <c r="F28" s="62">
        <v>20</v>
      </c>
    </row>
    <row r="29" spans="1:6" ht="16.5" customHeight="1" x14ac:dyDescent="0.3">
      <c r="A29" s="6"/>
      <c r="B29" s="33" t="s">
        <v>19</v>
      </c>
      <c r="C29" s="143" t="s">
        <v>195</v>
      </c>
      <c r="D29" s="143"/>
      <c r="E29" s="143"/>
      <c r="F29" s="63">
        <v>1.42</v>
      </c>
    </row>
    <row r="30" spans="1:6" ht="16.5" customHeight="1" x14ac:dyDescent="0.3">
      <c r="A30" s="6"/>
      <c r="B30" s="33" t="s">
        <v>22</v>
      </c>
      <c r="C30" s="132" t="s">
        <v>196</v>
      </c>
      <c r="D30" s="132"/>
      <c r="E30" s="132"/>
      <c r="F30" s="64">
        <v>45.22</v>
      </c>
    </row>
    <row r="31" spans="1:6" s="6" customFormat="1" ht="15.95" customHeight="1" x14ac:dyDescent="0.3">
      <c r="A31" s="4"/>
      <c r="B31" s="33" t="s">
        <v>25</v>
      </c>
      <c r="C31" s="143" t="s">
        <v>197</v>
      </c>
      <c r="D31" s="143"/>
      <c r="E31" s="143"/>
      <c r="F31" s="63">
        <f>(154800/34808000)*100</f>
        <v>0.44472535049413925</v>
      </c>
    </row>
    <row r="32" spans="1:6" ht="15.75" customHeight="1" x14ac:dyDescent="0.3">
      <c r="A32" s="6"/>
      <c r="B32" s="33" t="s">
        <v>90</v>
      </c>
      <c r="C32" s="132" t="s">
        <v>198</v>
      </c>
      <c r="D32" s="132"/>
      <c r="E32" s="132"/>
      <c r="F32" s="62">
        <v>15</v>
      </c>
    </row>
    <row r="33" spans="1:6" ht="15.75" customHeight="1" x14ac:dyDescent="0.3">
      <c r="A33" s="6"/>
      <c r="B33" s="33" t="s">
        <v>92</v>
      </c>
      <c r="C33" s="143" t="s">
        <v>199</v>
      </c>
      <c r="D33" s="143"/>
      <c r="E33" s="143"/>
      <c r="F33" s="65">
        <v>180</v>
      </c>
    </row>
    <row r="34" spans="1:6" ht="16.5" customHeight="1" x14ac:dyDescent="0.3">
      <c r="A34" s="6"/>
      <c r="B34" s="33" t="s">
        <v>200</v>
      </c>
      <c r="C34" s="132" t="s">
        <v>201</v>
      </c>
      <c r="D34" s="132"/>
      <c r="E34" s="132"/>
      <c r="F34" s="64">
        <v>54.78</v>
      </c>
    </row>
    <row r="35" spans="1:6" s="36" customFormat="1" ht="8.25" customHeight="1" x14ac:dyDescent="0.3"/>
    <row r="36" spans="1:6" x14ac:dyDescent="0.3">
      <c r="B36" s="31" t="s">
        <v>202</v>
      </c>
      <c r="C36" s="43"/>
      <c r="D36" s="44"/>
      <c r="E36" s="45"/>
      <c r="F36" s="45"/>
    </row>
    <row r="37" spans="1:6" x14ac:dyDescent="0.3">
      <c r="B37" s="12" t="s">
        <v>115</v>
      </c>
      <c r="C37" s="138" t="s">
        <v>203</v>
      </c>
      <c r="D37" s="138"/>
      <c r="E37" s="138"/>
      <c r="F37" s="33" t="s">
        <v>204</v>
      </c>
    </row>
    <row r="38" spans="1:6" ht="16.5" customHeight="1" x14ac:dyDescent="0.3">
      <c r="B38" s="12" t="s">
        <v>14</v>
      </c>
      <c r="C38" s="134" t="s">
        <v>118</v>
      </c>
      <c r="D38" s="134"/>
      <c r="E38" s="134"/>
      <c r="F38" s="58">
        <f>PERC_HORA_EXTRA</f>
        <v>0</v>
      </c>
    </row>
    <row r="39" spans="1:6" ht="15" customHeight="1" x14ac:dyDescent="0.3">
      <c r="B39" s="12" t="s">
        <v>16</v>
      </c>
      <c r="C39" s="132" t="s">
        <v>119</v>
      </c>
      <c r="D39" s="132"/>
      <c r="E39" s="132"/>
      <c r="F39" s="59">
        <f>TEMPO_INTERVALO_REFEICAO</f>
        <v>0</v>
      </c>
    </row>
    <row r="40" spans="1:6" s="36" customFormat="1" x14ac:dyDescent="0.3"/>
    <row r="41" spans="1:6" ht="20.25" x14ac:dyDescent="0.3">
      <c r="B41" s="55" t="s">
        <v>169</v>
      </c>
      <c r="C41" s="56"/>
      <c r="D41" s="56"/>
      <c r="E41" s="56"/>
      <c r="F41" s="57"/>
    </row>
    <row r="42" spans="1:6" ht="33.75" customHeight="1" x14ac:dyDescent="0.3">
      <c r="B42" s="144" t="s">
        <v>170</v>
      </c>
      <c r="C42" s="144"/>
      <c r="D42" s="144"/>
      <c r="E42" s="144"/>
      <c r="F42" s="144"/>
    </row>
  </sheetData>
  <sheetProtection sheet="1" objects="1" scenarios="1"/>
  <mergeCells count="29">
    <mergeCell ref="C37:E37"/>
    <mergeCell ref="C38:E38"/>
    <mergeCell ref="C39:E39"/>
    <mergeCell ref="B42:F42"/>
    <mergeCell ref="C30:E30"/>
    <mergeCell ref="C31:E31"/>
    <mergeCell ref="C32:E32"/>
    <mergeCell ref="C33:E33"/>
    <mergeCell ref="C34:E34"/>
    <mergeCell ref="C22:E22"/>
    <mergeCell ref="C26:E26"/>
    <mergeCell ref="C27:E27"/>
    <mergeCell ref="C28:E28"/>
    <mergeCell ref="C29:E29"/>
    <mergeCell ref="C17:E17"/>
    <mergeCell ref="C18:E18"/>
    <mergeCell ref="C19:E19"/>
    <mergeCell ref="C20:E20"/>
    <mergeCell ref="C21:E21"/>
    <mergeCell ref="C8:E8"/>
    <mergeCell ref="C9:E9"/>
    <mergeCell ref="C10:E10"/>
    <mergeCell ref="C13:D13"/>
    <mergeCell ref="C14:D14"/>
    <mergeCell ref="C3:E3"/>
    <mergeCell ref="C4:E4"/>
    <mergeCell ref="C5:E5"/>
    <mergeCell ref="C6:E6"/>
    <mergeCell ref="C7:E7"/>
  </mergeCells>
  <dataValidations count="1">
    <dataValidation allowBlank="1" showInputMessage="1" showErrorMessage="1" promptTitle="Intervalo Intrajornada" prompt="Segundo estudos da Audin-MPU, esse item não é usual nas planilhas do MPU. Verifique se realmente há necessidade de incluí-lo." sqref="F38:F39" xr:uid="{00000000-0002-0000-0100-000000000000}">
      <formula1>0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scale="91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4"/>
  <sheetViews>
    <sheetView topLeftCell="A20" zoomScaleNormal="100" workbookViewId="0">
      <selection activeCell="E5" sqref="E5"/>
    </sheetView>
  </sheetViews>
  <sheetFormatPr defaultColWidth="9.140625" defaultRowHeight="16.5" x14ac:dyDescent="0.3"/>
  <cols>
    <col min="1" max="1" width="2.7109375" style="4" customWidth="1"/>
    <col min="2" max="2" width="8.85546875" style="4" customWidth="1"/>
    <col min="3" max="3" width="52.5703125" style="4" customWidth="1"/>
    <col min="4" max="4" width="22" style="4" customWidth="1"/>
    <col min="5" max="5" width="13.5703125" style="4" customWidth="1"/>
    <col min="6" max="6" width="43.85546875" style="4" customWidth="1"/>
    <col min="7" max="7" width="51.7109375" style="4" customWidth="1"/>
    <col min="8" max="1024" width="9.140625" style="4"/>
  </cols>
  <sheetData>
    <row r="1" spans="2:7" s="6" customFormat="1" ht="25.5" x14ac:dyDescent="0.5">
      <c r="B1" s="30" t="s">
        <v>205</v>
      </c>
      <c r="C1" s="4"/>
      <c r="D1" s="4"/>
      <c r="E1" s="4"/>
      <c r="F1" s="4"/>
      <c r="G1" s="4"/>
    </row>
    <row r="2" spans="2:7" x14ac:dyDescent="0.3">
      <c r="B2" s="31" t="s">
        <v>94</v>
      </c>
      <c r="E2" s="37"/>
    </row>
    <row r="3" spans="2:7" x14ac:dyDescent="0.3">
      <c r="B3" s="31" t="s">
        <v>206</v>
      </c>
      <c r="C3" s="43"/>
      <c r="D3" s="44"/>
      <c r="E3" s="45"/>
    </row>
    <row r="4" spans="2:7" x14ac:dyDescent="0.3">
      <c r="B4" s="12" t="s">
        <v>207</v>
      </c>
      <c r="C4" s="138" t="s">
        <v>208</v>
      </c>
      <c r="D4" s="138"/>
      <c r="E4" s="33" t="s">
        <v>112</v>
      </c>
      <c r="F4" s="33" t="s">
        <v>209</v>
      </c>
    </row>
    <row r="5" spans="2:7" ht="16.5" customHeight="1" x14ac:dyDescent="0.3">
      <c r="B5" s="12" t="s">
        <v>14</v>
      </c>
      <c r="C5" s="143" t="s">
        <v>210</v>
      </c>
      <c r="D5" s="143"/>
      <c r="E5" s="66">
        <f>(1/MESES_NO_ANO)*100</f>
        <v>8.3333333333333321</v>
      </c>
      <c r="F5" s="66" t="s">
        <v>211</v>
      </c>
    </row>
    <row r="6" spans="2:7" ht="16.5" customHeight="1" x14ac:dyDescent="0.3">
      <c r="B6" s="33" t="s">
        <v>16</v>
      </c>
      <c r="C6" s="132" t="s">
        <v>212</v>
      </c>
      <c r="D6" s="132"/>
      <c r="E6" s="67">
        <f>(1/3)/MESES_NO_ANO*100</f>
        <v>2.7777777777777777</v>
      </c>
      <c r="F6" s="67" t="s">
        <v>213</v>
      </c>
    </row>
    <row r="7" spans="2:7" s="36" customFormat="1" ht="16.5" customHeight="1" x14ac:dyDescent="0.3">
      <c r="B7" s="146" t="s">
        <v>214</v>
      </c>
      <c r="C7" s="146"/>
      <c r="D7" s="146"/>
      <c r="E7" s="146"/>
      <c r="F7" s="146"/>
    </row>
    <row r="8" spans="2:7" s="36" customFormat="1" ht="34.5" customHeight="1" x14ac:dyDescent="0.3">
      <c r="B8" s="12" t="s">
        <v>215</v>
      </c>
      <c r="C8" s="147" t="s">
        <v>216</v>
      </c>
      <c r="D8" s="147"/>
      <c r="E8" s="33" t="s">
        <v>112</v>
      </c>
    </row>
    <row r="9" spans="2:7" ht="16.5" customHeight="1" x14ac:dyDescent="0.3">
      <c r="B9" s="12" t="s">
        <v>14</v>
      </c>
      <c r="C9" s="143" t="s">
        <v>217</v>
      </c>
      <c r="D9" s="143"/>
      <c r="E9" s="66">
        <v>20</v>
      </c>
    </row>
    <row r="10" spans="2:7" s="6" customFormat="1" ht="16.5" customHeight="1" x14ac:dyDescent="0.15">
      <c r="B10" s="33" t="s">
        <v>16</v>
      </c>
      <c r="C10" s="132" t="s">
        <v>218</v>
      </c>
      <c r="D10" s="132"/>
      <c r="E10" s="68">
        <v>2.5</v>
      </c>
    </row>
    <row r="11" spans="2:7" s="6" customFormat="1" ht="16.5" customHeight="1" x14ac:dyDescent="0.15">
      <c r="B11" s="33" t="s">
        <v>19</v>
      </c>
      <c r="C11" s="143" t="s">
        <v>219</v>
      </c>
      <c r="D11" s="143"/>
      <c r="E11" s="66">
        <v>3</v>
      </c>
    </row>
    <row r="12" spans="2:7" s="6" customFormat="1" ht="16.5" customHeight="1" x14ac:dyDescent="0.15">
      <c r="B12" s="33" t="s">
        <v>22</v>
      </c>
      <c r="C12" s="132" t="s">
        <v>220</v>
      </c>
      <c r="D12" s="132"/>
      <c r="E12" s="67">
        <v>1.5</v>
      </c>
    </row>
    <row r="13" spans="2:7" s="6" customFormat="1" ht="16.5" customHeight="1" x14ac:dyDescent="0.15">
      <c r="B13" s="33" t="s">
        <v>25</v>
      </c>
      <c r="C13" s="143" t="s">
        <v>221</v>
      </c>
      <c r="D13" s="143"/>
      <c r="E13" s="66">
        <v>1</v>
      </c>
    </row>
    <row r="14" spans="2:7" s="6" customFormat="1" ht="16.5" customHeight="1" x14ac:dyDescent="0.15">
      <c r="B14" s="33" t="s">
        <v>90</v>
      </c>
      <c r="C14" s="132" t="s">
        <v>222</v>
      </c>
      <c r="D14" s="132"/>
      <c r="E14" s="68">
        <v>0.6</v>
      </c>
    </row>
    <row r="15" spans="2:7" s="6" customFormat="1" ht="16.5" customHeight="1" x14ac:dyDescent="0.15">
      <c r="B15" s="33" t="s">
        <v>92</v>
      </c>
      <c r="C15" s="143" t="s">
        <v>223</v>
      </c>
      <c r="D15" s="143"/>
      <c r="E15" s="66">
        <v>0.2</v>
      </c>
    </row>
    <row r="16" spans="2:7" ht="16.5" customHeight="1" x14ac:dyDescent="0.3">
      <c r="B16" s="33" t="s">
        <v>200</v>
      </c>
      <c r="C16" s="132" t="s">
        <v>224</v>
      </c>
      <c r="D16" s="132"/>
      <c r="E16" s="68">
        <v>8</v>
      </c>
    </row>
    <row r="17" spans="2:6" x14ac:dyDescent="0.3">
      <c r="B17" s="138" t="s">
        <v>225</v>
      </c>
      <c r="C17" s="138"/>
      <c r="D17" s="138"/>
      <c r="E17" s="69">
        <f>SUM(E9:E16)</f>
        <v>36.799999999999997</v>
      </c>
    </row>
    <row r="18" spans="2:6" s="36" customFormat="1" x14ac:dyDescent="0.3">
      <c r="B18" s="31" t="s">
        <v>185</v>
      </c>
      <c r="C18" s="43"/>
      <c r="D18" s="44"/>
      <c r="E18" s="45"/>
    </row>
    <row r="19" spans="2:6" s="36" customFormat="1" ht="15" customHeight="1" x14ac:dyDescent="0.3">
      <c r="B19" s="12">
        <v>3</v>
      </c>
      <c r="C19" s="138" t="s">
        <v>186</v>
      </c>
      <c r="D19" s="138"/>
      <c r="E19" s="33" t="s">
        <v>112</v>
      </c>
      <c r="F19" s="33" t="s">
        <v>209</v>
      </c>
    </row>
    <row r="20" spans="2:6" s="36" customFormat="1" x14ac:dyDescent="0.3">
      <c r="B20" s="12" t="s">
        <v>14</v>
      </c>
      <c r="C20" s="148" t="s">
        <v>226</v>
      </c>
      <c r="D20" s="148"/>
      <c r="E20" s="66">
        <f>PERC_EMPREG_DEMIT_SEM_JUSTA_CAUSA_TOTAL_DESLIG%*PERC_EMPREG_AVISO_PREVIO_IND%*1/MESES_NO_ANO*100</f>
        <v>0.29105124999999998</v>
      </c>
      <c r="F20" s="66" t="s">
        <v>227</v>
      </c>
    </row>
    <row r="21" spans="2:6" s="36" customFormat="1" x14ac:dyDescent="0.3">
      <c r="B21" s="33" t="s">
        <v>16</v>
      </c>
      <c r="C21" s="149" t="s">
        <v>228</v>
      </c>
      <c r="D21" s="149"/>
      <c r="E21" s="68">
        <f>PERC_EMPREG_DEMIT_SEM_JUSTA_CAUSA_TOTAL_DESLIG%*PERC_EMPREG_AVISO_PREVIO_TRAB%*(DIAS_NA_SEMANA/DIAS_NO_MES)/MESES_NO_ANO*100</f>
        <v>1.1557269305555555</v>
      </c>
      <c r="F21" s="67" t="s">
        <v>229</v>
      </c>
    </row>
    <row r="22" spans="2:6" s="6" customFormat="1" ht="16.5" customHeight="1" x14ac:dyDescent="0.15">
      <c r="B22" s="33" t="s">
        <v>19</v>
      </c>
      <c r="C22" s="148" t="s">
        <v>230</v>
      </c>
      <c r="D22" s="148"/>
      <c r="E22" s="66">
        <f>ROUNDUP(PERC_AVISO_PREVIO_TRAB%*(PERC_MULTA_FGTS%)*PERC_FGTS%*100,2)</f>
        <v>0.04</v>
      </c>
      <c r="F22" s="66" t="s">
        <v>231</v>
      </c>
    </row>
    <row r="23" spans="2:6" s="6" customFormat="1" ht="15.95" customHeight="1" x14ac:dyDescent="0.3">
      <c r="B23" s="31" t="s">
        <v>108</v>
      </c>
      <c r="C23" s="43"/>
      <c r="D23" s="44"/>
      <c r="E23" s="4"/>
    </row>
    <row r="24" spans="2:6" s="6" customFormat="1" ht="15.95" customHeight="1" x14ac:dyDescent="0.3">
      <c r="B24" s="31" t="s">
        <v>109</v>
      </c>
      <c r="C24" s="43"/>
      <c r="D24" s="44"/>
      <c r="E24" s="45"/>
    </row>
    <row r="25" spans="2:6" s="6" customFormat="1" ht="16.5" customHeight="1" x14ac:dyDescent="0.15">
      <c r="B25" s="12" t="s">
        <v>110</v>
      </c>
      <c r="C25" s="133" t="s">
        <v>111</v>
      </c>
      <c r="D25" s="133"/>
      <c r="E25" s="33" t="s">
        <v>112</v>
      </c>
      <c r="F25" s="33" t="s">
        <v>209</v>
      </c>
    </row>
    <row r="26" spans="2:6" s="6" customFormat="1" ht="15.95" customHeight="1" x14ac:dyDescent="0.15">
      <c r="B26" s="33" t="s">
        <v>14</v>
      </c>
      <c r="C26" s="143" t="s">
        <v>232</v>
      </c>
      <c r="D26" s="143"/>
      <c r="E26" s="66">
        <f>(1/MESES_NO_ANO)*100</f>
        <v>8.3333333333333321</v>
      </c>
      <c r="F26" s="66" t="s">
        <v>233</v>
      </c>
    </row>
    <row r="27" spans="2:6" s="6" customFormat="1" ht="15.95" customHeight="1" x14ac:dyDescent="0.15">
      <c r="B27" s="33" t="s">
        <v>16</v>
      </c>
      <c r="C27" s="1" t="s">
        <v>234</v>
      </c>
      <c r="D27" s="1"/>
      <c r="E27" s="68">
        <f>(DIAS_AUSENCIAS_LEGAIS/DIAS_NO_MES)/MESES_NO_ANO*100</f>
        <v>2.2222222222222223</v>
      </c>
      <c r="F27" s="67" t="s">
        <v>235</v>
      </c>
    </row>
    <row r="28" spans="2:6" s="6" customFormat="1" ht="15.95" customHeight="1" x14ac:dyDescent="0.15">
      <c r="B28" s="33" t="s">
        <v>19</v>
      </c>
      <c r="C28" s="143" t="s">
        <v>236</v>
      </c>
      <c r="D28" s="143"/>
      <c r="E28" s="66">
        <f>(((DIAS_LICENCA_PATERNIDADE/DIAS_NO_MES)/MESES_NO_ANO)*PERC_NASCIDOS_VIVOS_POPUL_FEM%*PERC_PARTIC_MASC_VIGIL%)*100</f>
        <v>3.5673555555555549E-2</v>
      </c>
      <c r="F28" s="66" t="s">
        <v>237</v>
      </c>
    </row>
    <row r="29" spans="2:6" s="6" customFormat="1" ht="16.5" customHeight="1" x14ac:dyDescent="0.15">
      <c r="B29" s="33" t="s">
        <v>22</v>
      </c>
      <c r="C29" s="132" t="s">
        <v>238</v>
      </c>
      <c r="D29" s="132"/>
      <c r="E29" s="68">
        <f>(DIAS_PAGOS_EMPRESA_ACID_TRAB/DIAS_NO_MES)/MESES_NO_ANO*PERC_EMPREG_AFAST_TRAB%*100</f>
        <v>1.85302229372558E-2</v>
      </c>
      <c r="F29" s="67" t="s">
        <v>239</v>
      </c>
    </row>
    <row r="30" spans="2:6" s="6" customFormat="1" ht="33" customHeight="1" x14ac:dyDescent="0.15">
      <c r="B30" s="33" t="s">
        <v>25</v>
      </c>
      <c r="C30" s="143" t="s">
        <v>240</v>
      </c>
      <c r="D30" s="143"/>
      <c r="E30" s="66">
        <f>(((DIAS_LICENCA_MATERNIDADE/DIAS_NO_MES)/MESES_NO_ANO)*PERC_NASCIDOS_VIVOS_POPUL_FEM%*PERC_PARTIC_FEM_VIGIL%*PERC_GPS_FGTS%*100)</f>
        <v>0.14312918399999999</v>
      </c>
      <c r="F30" s="66" t="s">
        <v>241</v>
      </c>
    </row>
    <row r="31" spans="2:6" s="6" customFormat="1" x14ac:dyDescent="0.15">
      <c r="B31" s="33" t="s">
        <v>90</v>
      </c>
      <c r="C31" s="132" t="str">
        <f>OUTRAS_AUSENCIAS_DESCRICAO</f>
        <v>Outras Ausências (Especificar - em %)</v>
      </c>
      <c r="D31" s="132"/>
      <c r="E31" s="68">
        <f>PERC_SUBSTITUTO_OUTRAS_AUSENCIAS</f>
        <v>0</v>
      </c>
      <c r="F31" s="67"/>
    </row>
    <row r="33" spans="2:7" ht="20.25" x14ac:dyDescent="0.3">
      <c r="B33" s="55" t="s">
        <v>169</v>
      </c>
    </row>
    <row r="34" spans="2:7" ht="47.25" customHeight="1" x14ac:dyDescent="0.3">
      <c r="B34" s="144" t="s">
        <v>242</v>
      </c>
      <c r="C34" s="144"/>
      <c r="D34" s="144"/>
      <c r="E34" s="144"/>
      <c r="G34" s="70"/>
    </row>
  </sheetData>
  <mergeCells count="25">
    <mergeCell ref="C28:D28"/>
    <mergeCell ref="C29:D29"/>
    <mergeCell ref="C30:D30"/>
    <mergeCell ref="C31:D31"/>
    <mergeCell ref="B34:E34"/>
    <mergeCell ref="C20:D20"/>
    <mergeCell ref="C21:D21"/>
    <mergeCell ref="C22:D22"/>
    <mergeCell ref="C25:D25"/>
    <mergeCell ref="C26:D26"/>
    <mergeCell ref="C14:D14"/>
    <mergeCell ref="C15:D15"/>
    <mergeCell ref="C16:D16"/>
    <mergeCell ref="B17:D17"/>
    <mergeCell ref="C19:D19"/>
    <mergeCell ref="C9:D9"/>
    <mergeCell ref="C10:D10"/>
    <mergeCell ref="C11:D11"/>
    <mergeCell ref="C12:D12"/>
    <mergeCell ref="C13:D13"/>
    <mergeCell ref="C4:D4"/>
    <mergeCell ref="C5:D5"/>
    <mergeCell ref="C6:D6"/>
    <mergeCell ref="B7:F7"/>
    <mergeCell ref="C8:D8"/>
  </mergeCells>
  <dataValidations count="2">
    <dataValidation type="decimal" allowBlank="1" showInputMessage="1" showErrorMessage="1" errorTitle="Erro na inserção de dados." error="O percentual do Aviso Prévio Indenizado deverá ser inferior a 0,64%, conforme determinou o Tribunal de Contas da União por meio do Acórdão nº 1.904/2007 - Plenário." sqref="E20" xr:uid="{00000000-0002-0000-0200-000000000000}">
      <formula1>0</formula1>
      <formula2>0.46</formula2>
    </dataValidation>
    <dataValidation type="decimal" allowBlank="1" showInputMessage="1" showErrorMessage="1" errorTitle="Erro na inserção de dados." error="O percentual do Aviso Prévio Indenizado deverá ser inferior a 1,94%, conforme determinou o Tribunal de Contas da União por meio do Acórdão nº 1.904/2007 - Plenário." sqref="E21" xr:uid="{00000000-0002-0000-0200-000001000000}">
      <formula1>0</formula1>
      <formula2>1.94</formula2>
    </dataValidation>
  </dataValidations>
  <pageMargins left="0.179861111111111" right="0.17013888888888901" top="0.1" bottom="2.9861111111111099E-2" header="0.51180555555555496" footer="0.51180555555555496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8AF1-89DD-49DB-93BE-C9281F8A9E14}">
  <sheetPr>
    <pageSetUpPr fitToPage="1"/>
  </sheetPr>
  <dimension ref="A1:AMJ107"/>
  <sheetViews>
    <sheetView topLeftCell="A83" workbookViewId="0">
      <selection activeCell="H58" sqref="H58"/>
    </sheetView>
  </sheetViews>
  <sheetFormatPr defaultColWidth="9.140625" defaultRowHeight="16.5" x14ac:dyDescent="0.3"/>
  <cols>
    <col min="1" max="1" width="2.7109375" style="4" customWidth="1"/>
    <col min="2" max="2" width="8.85546875" style="4" customWidth="1"/>
    <col min="3" max="3" width="52.5703125" style="4" customWidth="1"/>
    <col min="4" max="4" width="7.85546875" style="4" customWidth="1"/>
    <col min="5" max="5" width="13.5703125" style="4" customWidth="1"/>
    <col min="6" max="6" width="15.42578125" style="4" customWidth="1"/>
    <col min="7" max="1024" width="9.140625" style="4"/>
  </cols>
  <sheetData>
    <row r="1" spans="2:6" ht="20.25" x14ac:dyDescent="0.35">
      <c r="B1" s="150" t="str">
        <f>RAMO</f>
        <v>RAMO: ESCOLA SUPERIOR DO MINISTÉRIO PÚBLICO DA UNIÃO</v>
      </c>
      <c r="C1" s="150"/>
      <c r="D1" s="150"/>
      <c r="E1" s="150"/>
      <c r="F1" s="150"/>
    </row>
    <row r="2" spans="2:6" ht="20.25" x14ac:dyDescent="0.35">
      <c r="B2" s="151" t="str">
        <f>UG</f>
        <v>UNIDADE GESTORA (SIGLA): ESMPU</v>
      </c>
      <c r="C2" s="151"/>
      <c r="D2" s="151"/>
      <c r="E2" s="71" t="s">
        <v>2</v>
      </c>
      <c r="F2" s="72">
        <f>DATA_DO_ORCAMENTO_ESTIMATIVO</f>
        <v>45702</v>
      </c>
    </row>
    <row r="3" spans="2:6" s="6" customFormat="1" ht="25.5" x14ac:dyDescent="0.5">
      <c r="B3" s="124" t="s">
        <v>243</v>
      </c>
      <c r="C3" s="124"/>
      <c r="D3" s="124"/>
      <c r="E3" s="124"/>
      <c r="F3" s="124"/>
    </row>
    <row r="4" spans="2:6" s="6" customFormat="1" ht="15.95" customHeight="1" x14ac:dyDescent="0.3">
      <c r="B4" s="125" t="s">
        <v>4</v>
      </c>
      <c r="C4" s="125"/>
      <c r="D4" s="125"/>
      <c r="E4" s="125"/>
      <c r="F4" s="125"/>
    </row>
    <row r="5" spans="2:6" s="6" customFormat="1" ht="15.95" customHeight="1" x14ac:dyDescent="0.3">
      <c r="B5" s="126" t="s">
        <v>244</v>
      </c>
      <c r="C5" s="126"/>
      <c r="D5" s="152" t="str">
        <f>NUMERO_PROCESSO</f>
        <v>0.01.000.1.003277/2024-10</v>
      </c>
      <c r="E5" s="152"/>
      <c r="F5" s="152"/>
    </row>
    <row r="6" spans="2:6" s="6" customFormat="1" ht="15.75" customHeight="1" x14ac:dyDescent="0.3">
      <c r="B6" s="128" t="s">
        <v>245</v>
      </c>
      <c r="C6" s="128"/>
      <c r="D6" s="153" t="str">
        <f>MODALIDADE_DE_LICITACAO</f>
        <v>Pregão nº</v>
      </c>
      <c r="E6" s="153"/>
      <c r="F6" s="73" t="str">
        <f>NUMERO_PREGAO</f>
        <v>XX/20XX</v>
      </c>
    </row>
    <row r="7" spans="2:6" s="6" customFormat="1" ht="15.75" customHeight="1" x14ac:dyDescent="0.3">
      <c r="B7" s="154" t="s">
        <v>246</v>
      </c>
      <c r="C7" s="154"/>
      <c r="D7" s="154"/>
      <c r="E7" s="154"/>
      <c r="F7" s="154"/>
    </row>
    <row r="8" spans="2:6" s="6" customFormat="1" ht="18" customHeight="1" x14ac:dyDescent="0.3">
      <c r="B8" s="10" t="s">
        <v>14</v>
      </c>
      <c r="C8" s="126" t="s">
        <v>15</v>
      </c>
      <c r="D8" s="126"/>
      <c r="E8" s="126"/>
      <c r="F8" s="74" t="str">
        <f>DATA_APRESENTACAO_PROPOSTA</f>
        <v>XX/XX/20XX</v>
      </c>
    </row>
    <row r="9" spans="2:6" s="6" customFormat="1" ht="15.95" customHeight="1" x14ac:dyDescent="0.15">
      <c r="B9" s="12" t="s">
        <v>16</v>
      </c>
      <c r="C9" s="13" t="s">
        <v>17</v>
      </c>
      <c r="D9" s="145" t="str">
        <f>IF(LOCAL_DE_EXECUCAO="","",LOCAL_DE_EXECUCAO)</f>
        <v>SEDE DA ESMPU</v>
      </c>
      <c r="E9" s="145"/>
      <c r="F9" s="145"/>
    </row>
    <row r="10" spans="2:6" s="6" customFormat="1" ht="18.75" customHeight="1" x14ac:dyDescent="0.3">
      <c r="B10" s="10" t="s">
        <v>19</v>
      </c>
      <c r="C10" s="126" t="s">
        <v>23</v>
      </c>
      <c r="D10" s="126"/>
      <c r="E10" s="126"/>
      <c r="F10" s="75" t="str">
        <f>ACORDO_COLETIVO</f>
        <v>01/2025</v>
      </c>
    </row>
    <row r="11" spans="2:6" s="6" customFormat="1" ht="15.95" customHeight="1" x14ac:dyDescent="0.3">
      <c r="B11" s="12" t="s">
        <v>22</v>
      </c>
      <c r="C11" s="145" t="s">
        <v>26</v>
      </c>
      <c r="D11" s="145"/>
      <c r="E11" s="145"/>
      <c r="F11" s="40">
        <f>NUMERO_MESES_EXEC_CONTRATUAL</f>
        <v>12</v>
      </c>
    </row>
    <row r="12" spans="2:6" s="6" customFormat="1" x14ac:dyDescent="0.3">
      <c r="B12" s="12" t="s">
        <v>25</v>
      </c>
      <c r="C12" s="155" t="s">
        <v>247</v>
      </c>
      <c r="D12" s="155"/>
      <c r="E12" s="155"/>
      <c r="F12" s="15">
        <f>IF(QTDE_POSTOS="","",QTDE_POSTOS)</f>
        <v>32</v>
      </c>
    </row>
    <row r="13" spans="2:6" s="76" customFormat="1" ht="15" customHeight="1" x14ac:dyDescent="0.2">
      <c r="B13" s="77" t="s">
        <v>68</v>
      </c>
      <c r="C13" s="78"/>
      <c r="D13" s="78"/>
      <c r="E13" s="78"/>
      <c r="F13" s="78"/>
    </row>
    <row r="14" spans="2:6" s="6" customFormat="1" x14ac:dyDescent="0.3">
      <c r="B14" s="10">
        <v>1</v>
      </c>
      <c r="C14" s="126" t="s">
        <v>248</v>
      </c>
      <c r="D14" s="126"/>
      <c r="E14" s="152" t="str">
        <f>IF(TIPO_DE_SERVICO="","",TIPO_DE_SERVICO)</f>
        <v>Assistente Administrativo</v>
      </c>
      <c r="F14" s="152"/>
    </row>
    <row r="15" spans="2:6" s="6" customFormat="1" x14ac:dyDescent="0.3">
      <c r="B15" s="10">
        <v>2</v>
      </c>
      <c r="C15" s="25" t="s">
        <v>249</v>
      </c>
      <c r="D15" s="156" t="str">
        <f>IF(CBO="","",CBO)</f>
        <v>4110-10</v>
      </c>
      <c r="E15" s="156"/>
      <c r="F15" s="156"/>
    </row>
    <row r="16" spans="2:6" s="6" customFormat="1" ht="15" customHeight="1" x14ac:dyDescent="0.3">
      <c r="B16" s="10">
        <v>3</v>
      </c>
      <c r="C16" s="24" t="s">
        <v>64</v>
      </c>
      <c r="D16" s="152" t="str">
        <f>IF(CATEGORIA_PROFISSIONAL="","",CATEGORIA_PROFISSIONAL)</f>
        <v>Apoio Administrativo</v>
      </c>
      <c r="E16" s="152"/>
      <c r="F16" s="152"/>
    </row>
    <row r="17" spans="2:6" s="6" customFormat="1" ht="15" customHeight="1" x14ac:dyDescent="0.3">
      <c r="B17" s="10">
        <v>4</v>
      </c>
      <c r="C17" s="128" t="s">
        <v>66</v>
      </c>
      <c r="D17" s="128"/>
      <c r="E17" s="128"/>
      <c r="F17" s="79">
        <f>DATA_BASE_CATEGORIA</f>
        <v>45658</v>
      </c>
    </row>
    <row r="18" spans="2:6" s="80" customFormat="1" ht="20.25" customHeight="1" x14ac:dyDescent="0.3">
      <c r="B18" s="157" t="s">
        <v>250</v>
      </c>
      <c r="C18" s="157"/>
      <c r="D18" s="157"/>
      <c r="E18" s="157"/>
      <c r="F18" s="157"/>
    </row>
    <row r="19" spans="2:6" x14ac:dyDescent="0.3">
      <c r="B19" s="138" t="s">
        <v>251</v>
      </c>
      <c r="C19" s="138"/>
      <c r="D19" s="138"/>
      <c r="E19" s="138"/>
      <c r="F19" s="81">
        <f>IF(EMPREG_POR_POSTO="","",EMPREG_POR_POSTO)</f>
        <v>1</v>
      </c>
    </row>
    <row r="20" spans="2:6" x14ac:dyDescent="0.3">
      <c r="B20" s="31" t="s">
        <v>69</v>
      </c>
      <c r="E20" s="32"/>
      <c r="F20" s="32"/>
    </row>
    <row r="21" spans="2:6" ht="16.5" customHeight="1" x14ac:dyDescent="0.3">
      <c r="B21" s="12">
        <v>1</v>
      </c>
      <c r="C21" s="133" t="s">
        <v>70</v>
      </c>
      <c r="D21" s="133"/>
      <c r="E21" s="133"/>
      <c r="F21" s="33" t="s">
        <v>122</v>
      </c>
    </row>
    <row r="22" spans="2:6" ht="16.5" customHeight="1" x14ac:dyDescent="0.3">
      <c r="B22" s="12" t="s">
        <v>14</v>
      </c>
      <c r="C22" s="134" t="s">
        <v>252</v>
      </c>
      <c r="D22" s="134"/>
      <c r="E22" s="134"/>
      <c r="F22" s="82">
        <f>SALARIO_BASE</f>
        <v>2574.38</v>
      </c>
    </row>
    <row r="23" spans="2:6" ht="16.5" customHeight="1" x14ac:dyDescent="0.3">
      <c r="B23" s="12" t="s">
        <v>16</v>
      </c>
      <c r="C23" s="132" t="s">
        <v>253</v>
      </c>
      <c r="D23" s="132"/>
      <c r="E23" s="132"/>
      <c r="F23" s="83">
        <f>PERC_ADIC_PERIC%*SALARIO_BASE</f>
        <v>0</v>
      </c>
    </row>
    <row r="24" spans="2:6" ht="15.75" customHeight="1" x14ac:dyDescent="0.3">
      <c r="B24" s="12" t="s">
        <v>19</v>
      </c>
      <c r="C24" s="159" t="s">
        <v>254</v>
      </c>
      <c r="D24" s="159"/>
      <c r="E24" s="159"/>
      <c r="F24" s="82">
        <f>((AL_1_A_SAL_BASE+AL_1_B_ADIC_PERIC)/DIVISOR_DE_HORAS)*DIAS_NA_SEMANA*MEDIA_ANUAL_DIAS_TRABALHO_MES*PERC_ADIC_NOT%</f>
        <v>0</v>
      </c>
    </row>
    <row r="25" spans="2:6" ht="15.75" customHeight="1" x14ac:dyDescent="0.3">
      <c r="B25" s="12" t="s">
        <v>22</v>
      </c>
      <c r="C25" s="132" t="s">
        <v>255</v>
      </c>
      <c r="D25" s="132"/>
      <c r="E25" s="132"/>
      <c r="F25" s="83">
        <f>((AL_1_A_SAL_BASE+AL_1_B_ADIC_PERIC)/DIVISOR_DE_HORAS)*((HORA_NORMAL-HORA_NOTURNA)/HORA_NOTURNA)*DIAS_NA_SEMANA*MEDIA_ANUAL_DIAS_TRABALHO_MES*PERC_ADIC_NOT%</f>
        <v>0</v>
      </c>
    </row>
    <row r="26" spans="2:6" ht="15.75" customHeight="1" x14ac:dyDescent="0.3">
      <c r="B26" s="12" t="s">
        <v>25</v>
      </c>
      <c r="C26" s="143" t="s">
        <v>256</v>
      </c>
      <c r="D26" s="143"/>
      <c r="E26" s="143"/>
      <c r="F26" s="82">
        <f>PERC_ADIC_INS%*SAL_MINIMO</f>
        <v>0</v>
      </c>
    </row>
    <row r="27" spans="2:6" x14ac:dyDescent="0.3">
      <c r="B27" s="12" t="s">
        <v>90</v>
      </c>
      <c r="C27" s="135" t="str">
        <f>OUTROS_REMUNERACAO_1_DESCRICAO</f>
        <v>Outras Remunerações 1 (Especificar)</v>
      </c>
      <c r="D27" s="135"/>
      <c r="E27" s="135"/>
      <c r="F27" s="83">
        <f>OUTROS_REMUNERACAO_1</f>
        <v>0</v>
      </c>
    </row>
    <row r="28" spans="2:6" x14ac:dyDescent="0.3">
      <c r="B28" s="12" t="s">
        <v>92</v>
      </c>
      <c r="C28" s="134" t="str">
        <f>OUTROS_REMUNERACAO_2_DESCRICAO</f>
        <v>Outras Remunerações 2 (Especificar)</v>
      </c>
      <c r="D28" s="134"/>
      <c r="E28" s="134"/>
      <c r="F28" s="82">
        <f>OUTROS_REMUNERACAO_2</f>
        <v>0</v>
      </c>
    </row>
    <row r="29" spans="2:6" x14ac:dyDescent="0.3">
      <c r="B29" s="12" t="s">
        <v>200</v>
      </c>
      <c r="C29" s="135" t="str">
        <f>OUTROS_REMUNERACAO_3_DESCRICAO</f>
        <v>Outras Remunerações 3 (Especificar)</v>
      </c>
      <c r="D29" s="135"/>
      <c r="E29" s="135"/>
      <c r="F29" s="83">
        <f>OUTROS_REMUNERACAO_3</f>
        <v>0</v>
      </c>
    </row>
    <row r="30" spans="2:6" ht="16.5" customHeight="1" x14ac:dyDescent="0.3">
      <c r="B30" s="133" t="s">
        <v>225</v>
      </c>
      <c r="C30" s="133"/>
      <c r="D30" s="133"/>
      <c r="E30" s="133"/>
      <c r="F30" s="84">
        <f>SUM(F22:F29)</f>
        <v>2574.38</v>
      </c>
    </row>
    <row r="31" spans="2:6" x14ac:dyDescent="0.3">
      <c r="B31" s="31" t="s">
        <v>94</v>
      </c>
      <c r="E31" s="37"/>
      <c r="F31" s="37"/>
    </row>
    <row r="32" spans="2:6" x14ac:dyDescent="0.3">
      <c r="B32" s="31" t="s">
        <v>206</v>
      </c>
      <c r="C32" s="43"/>
      <c r="D32" s="44"/>
      <c r="E32" s="45"/>
      <c r="F32" s="45"/>
    </row>
    <row r="33" spans="2:6" x14ac:dyDescent="0.3">
      <c r="B33" s="12" t="s">
        <v>207</v>
      </c>
      <c r="C33" s="138" t="s">
        <v>208</v>
      </c>
      <c r="D33" s="138"/>
      <c r="E33" s="33" t="s">
        <v>112</v>
      </c>
      <c r="F33" s="33" t="s">
        <v>122</v>
      </c>
    </row>
    <row r="34" spans="2:6" ht="16.5" customHeight="1" x14ac:dyDescent="0.3">
      <c r="B34" s="12" t="s">
        <v>14</v>
      </c>
      <c r="C34" s="143" t="s">
        <v>210</v>
      </c>
      <c r="D34" s="143"/>
      <c r="E34" s="66">
        <f>PERC_DEC_TERC</f>
        <v>8.3333333333333321</v>
      </c>
      <c r="F34" s="63">
        <f>PERC_DEC_TERC%*MOD_1_REMUNERACAO</f>
        <v>214.53166666666664</v>
      </c>
    </row>
    <row r="35" spans="2:6" ht="16.5" customHeight="1" x14ac:dyDescent="0.3">
      <c r="B35" s="33" t="s">
        <v>16</v>
      </c>
      <c r="C35" s="132" t="s">
        <v>212</v>
      </c>
      <c r="D35" s="132"/>
      <c r="E35" s="67">
        <f>PERC_ADIC_FERIAS</f>
        <v>2.7777777777777777</v>
      </c>
      <c r="F35" s="64">
        <f>PERC_ADIC_FERIAS%*MOD_1_REMUNERACAO</f>
        <v>71.510555555555555</v>
      </c>
    </row>
    <row r="36" spans="2:6" s="36" customFormat="1" x14ac:dyDescent="0.3">
      <c r="B36" s="138" t="s">
        <v>225</v>
      </c>
      <c r="C36" s="138"/>
      <c r="D36" s="138"/>
      <c r="E36" s="138"/>
      <c r="F36" s="85">
        <f>SUM(F34:F35)</f>
        <v>286.04222222222222</v>
      </c>
    </row>
    <row r="37" spans="2:6" s="36" customFormat="1" ht="31.5" customHeight="1" x14ac:dyDescent="0.3">
      <c r="B37" s="158" t="s">
        <v>214</v>
      </c>
      <c r="C37" s="158"/>
      <c r="D37" s="158"/>
      <c r="E37" s="158"/>
      <c r="F37" s="158"/>
    </row>
    <row r="38" spans="2:6" s="36" customFormat="1" ht="34.5" customHeight="1" x14ac:dyDescent="0.3">
      <c r="B38" s="12" t="s">
        <v>215</v>
      </c>
      <c r="C38" s="147" t="s">
        <v>216</v>
      </c>
      <c r="D38" s="147"/>
      <c r="E38" s="33" t="s">
        <v>112</v>
      </c>
      <c r="F38" s="33" t="s">
        <v>122</v>
      </c>
    </row>
    <row r="39" spans="2:6" ht="16.5" customHeight="1" x14ac:dyDescent="0.3">
      <c r="B39" s="12" t="s">
        <v>14</v>
      </c>
      <c r="C39" s="143" t="s">
        <v>217</v>
      </c>
      <c r="D39" s="143"/>
      <c r="E39" s="66">
        <f>PERC_INSS</f>
        <v>20</v>
      </c>
      <c r="F39" s="63">
        <f>PERC_INSS%*(MOD_1_REMUNERACAO+SUBMOD_2_1_DEC_TERC_ADIC_FERIAS)</f>
        <v>572.08444444444456</v>
      </c>
    </row>
    <row r="40" spans="2:6" s="6" customFormat="1" ht="16.5" customHeight="1" x14ac:dyDescent="0.15">
      <c r="B40" s="33" t="s">
        <v>16</v>
      </c>
      <c r="C40" s="132" t="s">
        <v>218</v>
      </c>
      <c r="D40" s="132"/>
      <c r="E40" s="68">
        <f>PERC_SAL_EDUCACAO</f>
        <v>2.5</v>
      </c>
      <c r="F40" s="64">
        <f>PERC_SAL_EDUCACAO%*(MOD_1_REMUNERACAO+SUBMOD_2_1_DEC_TERC_ADIC_FERIAS)</f>
        <v>71.51055555555557</v>
      </c>
    </row>
    <row r="41" spans="2:6" s="6" customFormat="1" ht="16.5" customHeight="1" x14ac:dyDescent="0.15">
      <c r="B41" s="33" t="s">
        <v>19</v>
      </c>
      <c r="C41" s="143" t="s">
        <v>219</v>
      </c>
      <c r="D41" s="143"/>
      <c r="E41" s="66">
        <f>PERC_RAT</f>
        <v>3</v>
      </c>
      <c r="F41" s="63">
        <f>PERC_RAT%*(MOD_1_REMUNERACAO+SUBMOD_2_1_DEC_TERC_ADIC_FERIAS)</f>
        <v>85.812666666666672</v>
      </c>
    </row>
    <row r="42" spans="2:6" s="6" customFormat="1" ht="16.5" customHeight="1" x14ac:dyDescent="0.15">
      <c r="B42" s="33" t="s">
        <v>22</v>
      </c>
      <c r="C42" s="132" t="s">
        <v>220</v>
      </c>
      <c r="D42" s="132"/>
      <c r="E42" s="67">
        <f>PERC_SESC</f>
        <v>1.5</v>
      </c>
      <c r="F42" s="64">
        <f>PERC_SESC%*(MOD_1_REMUNERACAO+SUBMOD_2_1_DEC_TERC_ADIC_FERIAS)</f>
        <v>42.906333333333336</v>
      </c>
    </row>
    <row r="43" spans="2:6" s="6" customFormat="1" ht="16.5" customHeight="1" x14ac:dyDescent="0.15">
      <c r="B43" s="33" t="s">
        <v>25</v>
      </c>
      <c r="C43" s="143" t="s">
        <v>221</v>
      </c>
      <c r="D43" s="143"/>
      <c r="E43" s="66">
        <f>PERC_SENAC</f>
        <v>1</v>
      </c>
      <c r="F43" s="63">
        <f>PERC_SENAC%*(MOD_1_REMUNERACAO+SUBMOD_2_1_DEC_TERC_ADIC_FERIAS)</f>
        <v>28.604222222222226</v>
      </c>
    </row>
    <row r="44" spans="2:6" s="6" customFormat="1" ht="16.5" customHeight="1" x14ac:dyDescent="0.15">
      <c r="B44" s="33" t="s">
        <v>90</v>
      </c>
      <c r="C44" s="132" t="s">
        <v>222</v>
      </c>
      <c r="D44" s="132"/>
      <c r="E44" s="68">
        <f>PERC_SEBRAE</f>
        <v>0.6</v>
      </c>
      <c r="F44" s="64">
        <f>PERC_SEBRAE%*(MOD_1_REMUNERACAO+SUBMOD_2_1_DEC_TERC_ADIC_FERIAS)</f>
        <v>17.162533333333336</v>
      </c>
    </row>
    <row r="45" spans="2:6" s="6" customFormat="1" ht="16.5" customHeight="1" x14ac:dyDescent="0.15">
      <c r="B45" s="33" t="s">
        <v>92</v>
      </c>
      <c r="C45" s="143" t="s">
        <v>223</v>
      </c>
      <c r="D45" s="143"/>
      <c r="E45" s="66">
        <f>PERC_INCRA</f>
        <v>0.2</v>
      </c>
      <c r="F45" s="63">
        <f>PERC_INCRA%*(MOD_1_REMUNERACAO+SUBMOD_2_1_DEC_TERC_ADIC_FERIAS)</f>
        <v>5.7208444444444453</v>
      </c>
    </row>
    <row r="46" spans="2:6" ht="16.5" customHeight="1" x14ac:dyDescent="0.3">
      <c r="B46" s="33" t="s">
        <v>200</v>
      </c>
      <c r="C46" s="132" t="s">
        <v>224</v>
      </c>
      <c r="D46" s="132"/>
      <c r="E46" s="68">
        <f>PERC_FGTS</f>
        <v>8</v>
      </c>
      <c r="F46" s="64">
        <f>PERC_FGTS%*(MOD_1_REMUNERACAO+SUBMOD_2_1_DEC_TERC_ADIC_FERIAS)</f>
        <v>228.83377777777781</v>
      </c>
    </row>
    <row r="47" spans="2:6" x14ac:dyDescent="0.3">
      <c r="B47" s="138" t="s">
        <v>225</v>
      </c>
      <c r="C47" s="138"/>
      <c r="D47" s="138"/>
      <c r="E47" s="138"/>
      <c r="F47" s="86">
        <f>SUM(F39:F46)</f>
        <v>1052.6353777777781</v>
      </c>
    </row>
    <row r="48" spans="2:6" ht="15.75" customHeight="1" x14ac:dyDescent="0.3">
      <c r="B48" s="31" t="s">
        <v>95</v>
      </c>
      <c r="C48" s="6"/>
      <c r="D48" s="6"/>
      <c r="E48" s="6"/>
      <c r="F48" s="6"/>
    </row>
    <row r="49" spans="2:6" ht="15.75" customHeight="1" x14ac:dyDescent="0.3">
      <c r="B49" s="12" t="s">
        <v>96</v>
      </c>
      <c r="C49" s="133" t="s">
        <v>97</v>
      </c>
      <c r="D49" s="133"/>
      <c r="E49" s="133"/>
      <c r="F49" s="33" t="s">
        <v>122</v>
      </c>
    </row>
    <row r="50" spans="2:6" ht="16.5" customHeight="1" x14ac:dyDescent="0.3">
      <c r="B50" s="10" t="s">
        <v>14</v>
      </c>
      <c r="C50" s="143" t="s">
        <v>100</v>
      </c>
      <c r="D50" s="143"/>
      <c r="E50" s="143"/>
      <c r="F50" s="63">
        <f>IF(((TRANSPORTE_POR_DIA*DIAS_TRABALHADOS_NO_MES)-(PERC_DESC_TRANSP_REMUNERACAO%*(AL_1_A_SAL_BASE)))&gt;0,((TRANSPORTE_POR_DIA*DIAS_TRABALHADOS_NO_MES)-(PERC_DESC_TRANSP_REMUNERACAO%*(AL_1_A_SAL_BASE))),0)</f>
        <v>87.537200000000013</v>
      </c>
    </row>
    <row r="51" spans="2:6" s="36" customFormat="1" ht="16.5" customHeight="1" x14ac:dyDescent="0.3">
      <c r="B51" s="10" t="s">
        <v>16</v>
      </c>
      <c r="C51" s="132" t="s">
        <v>102</v>
      </c>
      <c r="D51" s="132"/>
      <c r="E51" s="132"/>
      <c r="F51" s="64">
        <f>ALIMENTACAO_POR_DIA*DIAS_TRABALHADOS_NO_MES</f>
        <v>974.59999999999991</v>
      </c>
    </row>
    <row r="52" spans="2:6" s="36" customFormat="1" x14ac:dyDescent="0.3">
      <c r="B52" s="10" t="s">
        <v>19</v>
      </c>
      <c r="C52" s="134" t="str">
        <f>OUTROS_BENEFICIOS_1_DESCRICAO</f>
        <v>Assistência Funeral - Seguro de Vida Coletivo</v>
      </c>
      <c r="D52" s="134"/>
      <c r="E52" s="134"/>
      <c r="F52" s="63">
        <f>OUTROS_BENEFICIOS_1</f>
        <v>3.61</v>
      </c>
    </row>
    <row r="53" spans="2:6" s="36" customFormat="1" x14ac:dyDescent="0.3">
      <c r="B53" s="10" t="s">
        <v>22</v>
      </c>
      <c r="C53" s="135" t="str">
        <f>OUTROS_BENEFICIOS_2_DESCRICAO</f>
        <v>Outros Benefícios 2 (Especificar)</v>
      </c>
      <c r="D53" s="135"/>
      <c r="E53" s="135"/>
      <c r="F53" s="64">
        <f>OUTROS_BENEFICIOS_2</f>
        <v>0</v>
      </c>
    </row>
    <row r="54" spans="2:6" s="36" customFormat="1" x14ac:dyDescent="0.3">
      <c r="B54" s="10" t="s">
        <v>25</v>
      </c>
      <c r="C54" s="134" t="str">
        <f>OUTROS_BENEFICIOS_3_DESCRICAO</f>
        <v>Outros Benefícios 3 (Especificar)</v>
      </c>
      <c r="D54" s="134"/>
      <c r="E54" s="134"/>
      <c r="F54" s="63">
        <f>OUTROS_BENEFICIOS_3</f>
        <v>0</v>
      </c>
    </row>
    <row r="55" spans="2:6" s="36" customFormat="1" ht="15" customHeight="1" x14ac:dyDescent="0.3">
      <c r="B55" s="133" t="s">
        <v>225</v>
      </c>
      <c r="C55" s="133"/>
      <c r="D55" s="133"/>
      <c r="E55" s="133"/>
      <c r="F55" s="84">
        <f>SUM(F50:F54)</f>
        <v>1065.7471999999998</v>
      </c>
    </row>
    <row r="56" spans="2:6" s="36" customFormat="1" x14ac:dyDescent="0.3">
      <c r="B56" s="31" t="s">
        <v>185</v>
      </c>
      <c r="C56" s="43"/>
      <c r="D56" s="44"/>
      <c r="E56" s="45"/>
      <c r="F56" s="45"/>
    </row>
    <row r="57" spans="2:6" s="36" customFormat="1" ht="15" customHeight="1" x14ac:dyDescent="0.3">
      <c r="B57" s="12">
        <v>3</v>
      </c>
      <c r="C57" s="138" t="s">
        <v>186</v>
      </c>
      <c r="D57" s="138"/>
      <c r="E57" s="33" t="s">
        <v>112</v>
      </c>
      <c r="F57" s="33" t="s">
        <v>122</v>
      </c>
    </row>
    <row r="58" spans="2:6" s="36" customFormat="1" x14ac:dyDescent="0.3">
      <c r="B58" s="12" t="s">
        <v>14</v>
      </c>
      <c r="C58" s="148" t="s">
        <v>226</v>
      </c>
      <c r="D58" s="148"/>
      <c r="E58" s="66">
        <f>PERC_AVISO_PREVIO_IND</f>
        <v>0.29105124999999998</v>
      </c>
      <c r="F58" s="63">
        <f>PERC_AVISO_PREVIO_IND%*(MOD_1_REMUNERACAO+SUBMOD_2_1_DEC_TERC_ADIC_FERIAS+AL_2_2_FGTS+SUBMOD_2_3_BENEFICIOS)</f>
        <v>12.09318875114</v>
      </c>
    </row>
    <row r="59" spans="2:6" s="36" customFormat="1" x14ac:dyDescent="0.3">
      <c r="B59" s="33" t="s">
        <v>16</v>
      </c>
      <c r="C59" s="149" t="s">
        <v>228</v>
      </c>
      <c r="D59" s="149"/>
      <c r="E59" s="68">
        <f>PERC_AVISO_PREVIO_TRAB</f>
        <v>1.1557269305555555</v>
      </c>
      <c r="F59" s="64">
        <f>PERC_AVISO_PREVIO_TRAB%*(MOD_1_REMUNERACAO+SUBMOD_2_1_DEC_TERC_ADIC_FERIAS+SUBMOD_2_2_GPS_FGTS+SUBMOD_2_3_BENEFICIOS)</f>
        <v>57.54138789339266</v>
      </c>
    </row>
    <row r="60" spans="2:6" s="6" customFormat="1" x14ac:dyDescent="0.15">
      <c r="B60" s="33" t="s">
        <v>19</v>
      </c>
      <c r="C60" s="148" t="s">
        <v>230</v>
      </c>
      <c r="D60" s="148"/>
      <c r="E60" s="66">
        <f>PERC_MULTA_FGTS_AV_PREV_TRAB</f>
        <v>0.04</v>
      </c>
      <c r="F60" s="63">
        <f>PERC_MULTA_FGTS_AV_PREV_TRAB%*(MOD_1_REMUNERACAO+SUBMOD_2_1_DEC_TERC_ADIC_FERIAS)</f>
        <v>1.144168888888889</v>
      </c>
    </row>
    <row r="61" spans="2:6" s="6" customFormat="1" x14ac:dyDescent="0.3">
      <c r="B61" s="138" t="s">
        <v>225</v>
      </c>
      <c r="C61" s="138"/>
      <c r="D61" s="138"/>
      <c r="E61" s="138"/>
      <c r="F61" s="85">
        <f>SUM(F58:F60)</f>
        <v>70.778745533421542</v>
      </c>
    </row>
    <row r="62" spans="2:6" ht="7.5" customHeight="1" x14ac:dyDescent="0.3">
      <c r="B62" s="87"/>
      <c r="D62" s="23"/>
      <c r="E62" s="32"/>
      <c r="F62" s="32"/>
    </row>
    <row r="63" spans="2:6" s="6" customFormat="1" ht="15.95" customHeight="1" x14ac:dyDescent="0.3">
      <c r="B63" s="31" t="s">
        <v>108</v>
      </c>
      <c r="C63" s="43"/>
      <c r="D63" s="44"/>
      <c r="E63" s="4"/>
      <c r="F63" s="4"/>
    </row>
    <row r="64" spans="2:6" s="6" customFormat="1" ht="15.95" customHeight="1" x14ac:dyDescent="0.3">
      <c r="B64" s="31" t="s">
        <v>109</v>
      </c>
      <c r="C64" s="43"/>
      <c r="D64" s="44"/>
      <c r="E64" s="45"/>
      <c r="F64" s="45"/>
    </row>
    <row r="65" spans="2:6" s="6" customFormat="1" ht="16.5" customHeight="1" x14ac:dyDescent="0.15">
      <c r="B65" s="12" t="s">
        <v>110</v>
      </c>
      <c r="C65" s="133" t="s">
        <v>111</v>
      </c>
      <c r="D65" s="133"/>
      <c r="E65" s="33" t="s">
        <v>112</v>
      </c>
      <c r="F65" s="33" t="s">
        <v>122</v>
      </c>
    </row>
    <row r="66" spans="2:6" s="6" customFormat="1" ht="15.95" customHeight="1" x14ac:dyDescent="0.15">
      <c r="B66" s="33" t="s">
        <v>14</v>
      </c>
      <c r="C66" s="143" t="s">
        <v>232</v>
      </c>
      <c r="D66" s="143"/>
      <c r="E66" s="66">
        <f>PERC_SUBSTITUTO_FERIAS</f>
        <v>8.3333333333333321</v>
      </c>
      <c r="F66" s="63">
        <f>PERC_SUBSTITUTO_FERIAS%*(MOD_1_REMUNERACAO+MOD_2_ENCARGOS_BENEFICIOS+MOD_3_PROVISAO_RESCISAO)</f>
        <v>420.7986287944517</v>
      </c>
    </row>
    <row r="67" spans="2:6" s="6" customFormat="1" ht="15.95" customHeight="1" x14ac:dyDescent="0.15">
      <c r="B67" s="33" t="s">
        <v>16</v>
      </c>
      <c r="C67" s="132" t="s">
        <v>234</v>
      </c>
      <c r="D67" s="132"/>
      <c r="E67" s="68">
        <f>PERC_SUBSTITUTO_AUSENCIAS_LEGAIS</f>
        <v>2.2222222222222223</v>
      </c>
      <c r="F67" s="64">
        <f>PERC_SUBSTITUTO_AUSENCIAS_LEGAIS%*(MOD_1_REMUNERACAO+MOD_2_ENCARGOS_BENEFICIOS+MOD_3_PROVISAO_RESCISAO)</f>
        <v>112.21296767852049</v>
      </c>
    </row>
    <row r="68" spans="2:6" s="6" customFormat="1" ht="15.95" customHeight="1" x14ac:dyDescent="0.15">
      <c r="B68" s="33" t="s">
        <v>19</v>
      </c>
      <c r="C68" s="143" t="s">
        <v>236</v>
      </c>
      <c r="D68" s="143"/>
      <c r="E68" s="66">
        <f>PERC_SUBSTITUTO_LICENCA_PATERNIDADE</f>
        <v>3.5673555555555549E-2</v>
      </c>
      <c r="F68" s="63">
        <f>PERC_SUBSTITUTO_LICENCA_PATERNIDADE%*(MOD_1_REMUNERACAO+MOD_2_ENCARGOS_BENEFICIOS+MOD_3_PROVISAO_RESCISAO)</f>
        <v>1.8013659914400568</v>
      </c>
    </row>
    <row r="69" spans="2:6" s="6" customFormat="1" ht="16.5" customHeight="1" x14ac:dyDescent="0.15">
      <c r="B69" s="33" t="s">
        <v>22</v>
      </c>
      <c r="C69" s="132" t="s">
        <v>238</v>
      </c>
      <c r="D69" s="132"/>
      <c r="E69" s="68">
        <f>PERC_SUBSTITUTO_ACID_TRAB</f>
        <v>1.85302229372558E-2</v>
      </c>
      <c r="F69" s="64">
        <f>PERC_SUBSTITUTO_ACID_TRAB%*(MOD_1_REMUNERACAO+MOD_2_ENCARGOS_BENEFICIOS+MOD_3_PROVISAO_RESCISAO)</f>
        <v>0.93569908839032867</v>
      </c>
    </row>
    <row r="70" spans="2:6" s="6" customFormat="1" ht="16.5" customHeight="1" x14ac:dyDescent="0.15">
      <c r="B70" s="33" t="s">
        <v>25</v>
      </c>
      <c r="C70" s="143" t="s">
        <v>240</v>
      </c>
      <c r="D70" s="143"/>
      <c r="E70" s="66">
        <f>PERC_SUBSTITUTO_AFAST_MATERN</f>
        <v>0.14312918399999999</v>
      </c>
      <c r="F70" s="63">
        <f>PERC_SUBSTITUTO_AFAST_MATERN%*(MOD_1_REMUNERACAO+MOD_2_ENCARGOS_BENEFICIOS+MOD_3_PROVISAO_RESCISAO)</f>
        <v>7.2274277241202549</v>
      </c>
    </row>
    <row r="71" spans="2:6" s="6" customFormat="1" x14ac:dyDescent="0.15">
      <c r="B71" s="33" t="s">
        <v>90</v>
      </c>
      <c r="C71" s="160" t="str">
        <f>OUTRAS_AUSENCIAS_DESCRICAO</f>
        <v>Outras Ausências (Especificar - em %)</v>
      </c>
      <c r="D71" s="160"/>
      <c r="E71" s="88">
        <f>PERC_SUBSTITUTO_OUTRAS_AUSENCIAS</f>
        <v>0</v>
      </c>
      <c r="F71" s="64">
        <f>PERC_SUBSTITUTO_OUTRAS_AUSENCIAS%*(MOD_1_REMUNERACAO+MOD_2_ENCARGOS_BENEFICIOS+MOD_3_PROVISAO_RESCISAO)</f>
        <v>0</v>
      </c>
    </row>
    <row r="72" spans="2:6" s="6" customFormat="1" x14ac:dyDescent="0.3">
      <c r="B72" s="138" t="s">
        <v>225</v>
      </c>
      <c r="C72" s="138"/>
      <c r="D72" s="138"/>
      <c r="E72" s="138"/>
      <c r="F72" s="85">
        <f>SUM(F66:F71)</f>
        <v>542.97608927692295</v>
      </c>
    </row>
    <row r="73" spans="2:6" s="6" customFormat="1" ht="15" customHeight="1" x14ac:dyDescent="0.3">
      <c r="B73" s="31" t="s">
        <v>114</v>
      </c>
      <c r="C73" s="43"/>
      <c r="D73" s="44"/>
      <c r="E73" s="45"/>
      <c r="F73" s="45"/>
    </row>
    <row r="74" spans="2:6" s="6" customFormat="1" x14ac:dyDescent="0.15">
      <c r="B74" s="12" t="s">
        <v>115</v>
      </c>
      <c r="C74" s="138" t="s">
        <v>116</v>
      </c>
      <c r="D74" s="138"/>
      <c r="E74" s="138"/>
      <c r="F74" s="33" t="s">
        <v>122</v>
      </c>
    </row>
    <row r="75" spans="2:6" s="6" customFormat="1" ht="16.5" customHeight="1" x14ac:dyDescent="0.15">
      <c r="B75" s="12" t="s">
        <v>14</v>
      </c>
      <c r="C75" s="143" t="s">
        <v>257</v>
      </c>
      <c r="D75" s="143"/>
      <c r="E75" s="143"/>
      <c r="F75" s="82">
        <f>IF(DIAS_TRABALHADOS_NO_MES=15,((MOD_1_REMUNERACAO+MOD_2_ENCARGOS_BENEFICIOS+MOD_3_PROVISAO_RESCISAO)/DIVISOR_DE_HORAS)*((TEMPO_INTERVALO_REFEICAO/HORA_NORMAL)+PERC_HORA_EXTRA%)*DIAS_TRABALHADOS_NO_MES,0)</f>
        <v>0</v>
      </c>
    </row>
    <row r="76" spans="2:6" s="6" customFormat="1" x14ac:dyDescent="0.3">
      <c r="B76" s="138" t="s">
        <v>225</v>
      </c>
      <c r="C76" s="138"/>
      <c r="D76" s="138"/>
      <c r="E76" s="138"/>
      <c r="F76" s="85">
        <f>SUM(F75)</f>
        <v>0</v>
      </c>
    </row>
    <row r="77" spans="2:6" ht="7.5" customHeight="1" x14ac:dyDescent="0.3">
      <c r="B77" s="87"/>
      <c r="D77" s="23"/>
      <c r="E77" s="32"/>
      <c r="F77" s="32"/>
    </row>
    <row r="78" spans="2:6" x14ac:dyDescent="0.3">
      <c r="B78" s="31" t="s">
        <v>120</v>
      </c>
      <c r="C78" s="43"/>
      <c r="D78" s="43"/>
      <c r="E78" s="45"/>
      <c r="F78" s="45"/>
    </row>
    <row r="79" spans="2:6" ht="15.75" customHeight="1" x14ac:dyDescent="0.3">
      <c r="B79" s="46">
        <v>5</v>
      </c>
      <c r="C79" s="139" t="s">
        <v>121</v>
      </c>
      <c r="D79" s="139"/>
      <c r="E79" s="139"/>
      <c r="F79" s="47" t="s">
        <v>122</v>
      </c>
    </row>
    <row r="80" spans="2:6" ht="16.5" customHeight="1" x14ac:dyDescent="0.3">
      <c r="B80" s="48" t="s">
        <v>14</v>
      </c>
      <c r="C80" s="140" t="s">
        <v>258</v>
      </c>
      <c r="D80" s="140"/>
      <c r="E80" s="140"/>
      <c r="F80" s="89">
        <f>UNIFORMES</f>
        <v>195.57</v>
      </c>
    </row>
    <row r="81" spans="2:6" ht="16.5" customHeight="1" x14ac:dyDescent="0.3">
      <c r="B81" s="48" t="s">
        <v>16</v>
      </c>
      <c r="C81" s="141" t="s">
        <v>259</v>
      </c>
      <c r="D81" s="141"/>
      <c r="E81" s="141"/>
      <c r="F81" s="90">
        <f>MATERIAIS</f>
        <v>0</v>
      </c>
    </row>
    <row r="82" spans="2:6" ht="16.5" customHeight="1" x14ac:dyDescent="0.3">
      <c r="B82" s="48" t="s">
        <v>19</v>
      </c>
      <c r="C82" s="140" t="s">
        <v>260</v>
      </c>
      <c r="D82" s="140"/>
      <c r="E82" s="140"/>
      <c r="F82" s="89">
        <f>EQUIPAMENTOS</f>
        <v>1.22</v>
      </c>
    </row>
    <row r="83" spans="2:6" x14ac:dyDescent="0.3">
      <c r="B83" s="48" t="s">
        <v>22</v>
      </c>
      <c r="C83" s="161" t="str">
        <f>OUTROS_INSUMOS_DESCRICAO</f>
        <v>Outros (Especificar)</v>
      </c>
      <c r="D83" s="161"/>
      <c r="E83" s="161"/>
      <c r="F83" s="90">
        <f>OUTROS_INSUMOS</f>
        <v>0</v>
      </c>
    </row>
    <row r="84" spans="2:6" ht="16.5" customHeight="1" x14ac:dyDescent="0.3">
      <c r="B84" s="139" t="s">
        <v>225</v>
      </c>
      <c r="C84" s="139"/>
      <c r="D84" s="139"/>
      <c r="E84" s="139"/>
      <c r="F84" s="91">
        <f>SUM(F80:F83)</f>
        <v>196.79</v>
      </c>
    </row>
    <row r="85" spans="2:6" ht="7.5" customHeight="1" x14ac:dyDescent="0.3">
      <c r="B85" s="87"/>
      <c r="D85" s="23"/>
      <c r="E85" s="32"/>
      <c r="F85" s="32"/>
    </row>
    <row r="86" spans="2:6" ht="15" customHeight="1" x14ac:dyDescent="0.3">
      <c r="B86" s="142" t="s">
        <v>159</v>
      </c>
      <c r="C86" s="142"/>
      <c r="D86" s="142"/>
      <c r="E86" s="142"/>
      <c r="F86" s="142"/>
    </row>
    <row r="87" spans="2:6" x14ac:dyDescent="0.3">
      <c r="B87" s="12">
        <v>6</v>
      </c>
      <c r="C87" s="138" t="s">
        <v>160</v>
      </c>
      <c r="D87" s="138"/>
      <c r="E87" s="33" t="s">
        <v>112</v>
      </c>
      <c r="F87" s="33" t="s">
        <v>122</v>
      </c>
    </row>
    <row r="88" spans="2:6" ht="16.5" customHeight="1" x14ac:dyDescent="0.3">
      <c r="B88" s="12" t="s">
        <v>14</v>
      </c>
      <c r="C88" s="143" t="s">
        <v>161</v>
      </c>
      <c r="D88" s="143"/>
      <c r="E88" s="92">
        <f>PERC_CUSTOS_INDIRETOS</f>
        <v>4.7300000000000004</v>
      </c>
      <c r="F88" s="63">
        <f>PERC_CUSTOS_INDIRETOS%*(MOD_1_REMUNERACAO+MOD_2_ENCARGOS_BENEFICIOS+MOD_3_PROVISAO_RESCISAO+MOD_4_CUSTO_REPOSICAO+MOD_5_INSUMOS)</f>
        <v>273.8362377265293</v>
      </c>
    </row>
    <row r="89" spans="2:6" ht="15.75" customHeight="1" x14ac:dyDescent="0.3">
      <c r="B89" s="33" t="s">
        <v>16</v>
      </c>
      <c r="C89" s="132" t="s">
        <v>162</v>
      </c>
      <c r="D89" s="132"/>
      <c r="E89" s="93">
        <f>PERC_LUCRO</f>
        <v>5.45</v>
      </c>
      <c r="F89" s="64">
        <f>PERC_LUCRO%*(MOD_1_REMUNERACAO+MOD_2_ENCARGOS_BENEFICIOS+MOD_3_PROVISAO_RESCISAO+MOD_4_CUSTO_REPOSICAO+MOD_5_INSUMOS+AL_6_A_CUSTOS_INDIRETOS)</f>
        <v>330.4436300532596</v>
      </c>
    </row>
    <row r="90" spans="2:6" ht="16.5" customHeight="1" x14ac:dyDescent="0.3">
      <c r="B90" s="33" t="s">
        <v>19</v>
      </c>
      <c r="C90" s="143" t="s">
        <v>261</v>
      </c>
      <c r="D90" s="143"/>
      <c r="E90" s="92">
        <f>SUM(E91:E93)</f>
        <v>8.65</v>
      </c>
      <c r="F90" s="63">
        <f>SUM(F91:F93)</f>
        <v>605.41757194750585</v>
      </c>
    </row>
    <row r="91" spans="2:6" ht="15.75" customHeight="1" x14ac:dyDescent="0.3">
      <c r="B91" s="54" t="s">
        <v>163</v>
      </c>
      <c r="C91" s="162" t="s">
        <v>164</v>
      </c>
      <c r="D91" s="162"/>
      <c r="E91" s="94">
        <f>PERC_PIS</f>
        <v>0.65</v>
      </c>
      <c r="F91" s="95">
        <f>((MOD_1_REMUNERACAO+MOD_2_ENCARGOS_BENEFICIOS+MOD_3_PROVISAO_RESCISAO+MOD_4_CUSTO_REPOSICAO+MOD_5_INSUMOS+AL_6_A_CUSTOS_INDIRETOS+AL_6_B_LUCRO)*PERC_PIS%)/(1-PERC_TRIBUTOS%)</f>
        <v>45.493805984494664</v>
      </c>
    </row>
    <row r="92" spans="2:6" ht="16.5" customHeight="1" x14ac:dyDescent="0.3">
      <c r="B92" s="54" t="s">
        <v>165</v>
      </c>
      <c r="C92" s="163" t="s">
        <v>166</v>
      </c>
      <c r="D92" s="163"/>
      <c r="E92" s="96">
        <f>PERC_COFINS</f>
        <v>3</v>
      </c>
      <c r="F92" s="97">
        <f>((MOD_1_REMUNERACAO+MOD_2_ENCARGOS_BENEFICIOS+MOD_3_PROVISAO_RESCISAO+MOD_4_CUSTO_REPOSICAO+MOD_5_INSUMOS+AL_6_A_CUSTOS_INDIRETOS+AL_6_B_LUCRO)*PERC_COFINS%)/(1-PERC_TRIBUTOS%)</f>
        <v>209.97141223612917</v>
      </c>
    </row>
    <row r="93" spans="2:6" s="50" customFormat="1" ht="16.5" customHeight="1" x14ac:dyDescent="0.3">
      <c r="B93" s="54" t="s">
        <v>167</v>
      </c>
      <c r="C93" s="162" t="s">
        <v>168</v>
      </c>
      <c r="D93" s="162"/>
      <c r="E93" s="94">
        <f>PERC_ISS</f>
        <v>5</v>
      </c>
      <c r="F93" s="95">
        <f>((MOD_1_REMUNERACAO+MOD_2_ENCARGOS_BENEFICIOS+MOD_3_PROVISAO_RESCISAO+MOD_4_CUSTO_REPOSICAO+MOD_5_INSUMOS+AL_6_A_CUSTOS_INDIRETOS+AL_6_B_LUCRO)*PERC_ISS%)/(1-PERC_TRIBUTOS%)</f>
        <v>349.952353726882</v>
      </c>
    </row>
    <row r="94" spans="2:6" s="50" customFormat="1" x14ac:dyDescent="0.3">
      <c r="B94" s="138" t="s">
        <v>225</v>
      </c>
      <c r="C94" s="138"/>
      <c r="D94" s="138"/>
      <c r="E94" s="138"/>
      <c r="F94" s="98">
        <f>AL_6_A_CUSTOS_INDIRETOS+AL_6_B_LUCRO+AL_6_C_TRIBUTOS</f>
        <v>1209.6974397272947</v>
      </c>
    </row>
    <row r="95" spans="2:6" s="50" customFormat="1" ht="20.25" x14ac:dyDescent="0.3">
      <c r="B95" s="99" t="s">
        <v>262</v>
      </c>
      <c r="C95" s="100"/>
      <c r="D95" s="100"/>
      <c r="E95" s="100"/>
      <c r="F95" s="101"/>
    </row>
    <row r="96" spans="2:6" s="51" customFormat="1" ht="16.5" customHeight="1" x14ac:dyDescent="0.3">
      <c r="B96" s="33" t="s">
        <v>263</v>
      </c>
      <c r="C96" s="133" t="s">
        <v>264</v>
      </c>
      <c r="D96" s="133"/>
      <c r="E96" s="133"/>
      <c r="F96" s="33" t="s">
        <v>265</v>
      </c>
    </row>
    <row r="97" spans="2:6" s="50" customFormat="1" ht="16.5" customHeight="1" x14ac:dyDescent="0.3">
      <c r="B97" s="12">
        <v>1</v>
      </c>
      <c r="C97" s="143" t="s">
        <v>70</v>
      </c>
      <c r="D97" s="143"/>
      <c r="E97" s="143"/>
      <c r="F97" s="63">
        <f>MOD_1_REMUNERACAO</f>
        <v>2574.38</v>
      </c>
    </row>
    <row r="98" spans="2:6" s="52" customFormat="1" ht="16.5" customHeight="1" x14ac:dyDescent="0.3">
      <c r="B98" s="33">
        <v>2</v>
      </c>
      <c r="C98" s="132" t="s">
        <v>266</v>
      </c>
      <c r="D98" s="132"/>
      <c r="E98" s="132"/>
      <c r="F98" s="64">
        <f>MOD_2_ENCARGOS_BENEFICIOS</f>
        <v>2404.4248000000002</v>
      </c>
    </row>
    <row r="99" spans="2:6" s="52" customFormat="1" ht="16.5" customHeight="1" x14ac:dyDescent="0.3">
      <c r="B99" s="33">
        <v>3</v>
      </c>
      <c r="C99" s="143" t="s">
        <v>186</v>
      </c>
      <c r="D99" s="143"/>
      <c r="E99" s="143"/>
      <c r="F99" s="63">
        <f>MOD_3_PROVISAO_RESCISAO</f>
        <v>70.778745533421542</v>
      </c>
    </row>
    <row r="100" spans="2:6" s="52" customFormat="1" ht="16.5" customHeight="1" x14ac:dyDescent="0.3">
      <c r="B100" s="33">
        <v>4</v>
      </c>
      <c r="C100" s="132" t="s">
        <v>267</v>
      </c>
      <c r="D100" s="132"/>
      <c r="E100" s="132"/>
      <c r="F100" s="64">
        <f>MOD_4_CUSTO_REPOSICAO</f>
        <v>542.97608927692295</v>
      </c>
    </row>
    <row r="101" spans="2:6" s="52" customFormat="1" ht="16.5" customHeight="1" x14ac:dyDescent="0.3">
      <c r="B101" s="33">
        <v>5</v>
      </c>
      <c r="C101" s="143" t="s">
        <v>121</v>
      </c>
      <c r="D101" s="143"/>
      <c r="E101" s="143"/>
      <c r="F101" s="63">
        <f>MOD_5_INSUMOS</f>
        <v>196.79</v>
      </c>
    </row>
    <row r="102" spans="2:6" s="52" customFormat="1" ht="16.5" customHeight="1" x14ac:dyDescent="0.3">
      <c r="B102" s="33">
        <v>6</v>
      </c>
      <c r="C102" s="132" t="s">
        <v>160</v>
      </c>
      <c r="D102" s="132"/>
      <c r="E102" s="132"/>
      <c r="F102" s="64">
        <f>MOD_6_CUSTOS_IND_LUCRO_TRIB</f>
        <v>1209.6974397272947</v>
      </c>
    </row>
    <row r="103" spans="2:6" ht="16.5" customHeight="1" x14ac:dyDescent="0.3">
      <c r="B103" s="133" t="s">
        <v>268</v>
      </c>
      <c r="C103" s="133"/>
      <c r="D103" s="133"/>
      <c r="E103" s="133"/>
      <c r="F103" s="98">
        <f>SUM(F97:F102)</f>
        <v>6999.0470745376388</v>
      </c>
    </row>
    <row r="104" spans="2:6" ht="16.5" customHeight="1" x14ac:dyDescent="0.3">
      <c r="B104" s="133" t="s">
        <v>269</v>
      </c>
      <c r="C104" s="133"/>
      <c r="D104" s="133"/>
      <c r="E104" s="133"/>
      <c r="F104" s="98">
        <f>VALOR_TOTAL_EMPREGADO*EMPREG_POR_POSTO</f>
        <v>6999.0470745376388</v>
      </c>
    </row>
    <row r="105" spans="2:6" ht="16.5" customHeight="1" x14ac:dyDescent="0.3">
      <c r="B105" s="133" t="s">
        <v>270</v>
      </c>
      <c r="C105" s="133"/>
      <c r="D105" s="133"/>
      <c r="E105" s="133"/>
      <c r="F105" s="98">
        <f>VALOR_TOTAL_EMPREGADO*EMPREG_POR_POSTO*QTDE_POSTOS+0.09</f>
        <v>223969.59638520444</v>
      </c>
    </row>
    <row r="107" spans="2:6" x14ac:dyDescent="0.3">
      <c r="B107" s="4" t="s">
        <v>271</v>
      </c>
    </row>
  </sheetData>
  <mergeCells count="94">
    <mergeCell ref="C102:E102"/>
    <mergeCell ref="B103:E103"/>
    <mergeCell ref="B104:E104"/>
    <mergeCell ref="B105:E105"/>
    <mergeCell ref="C96:E96"/>
    <mergeCell ref="C97:E97"/>
    <mergeCell ref="C98:E98"/>
    <mergeCell ref="C99:E99"/>
    <mergeCell ref="C100:E100"/>
    <mergeCell ref="C101:E101"/>
    <mergeCell ref="B94:E94"/>
    <mergeCell ref="C82:E82"/>
    <mergeCell ref="C83:E83"/>
    <mergeCell ref="B84:E84"/>
    <mergeCell ref="B86:F86"/>
    <mergeCell ref="C87:D87"/>
    <mergeCell ref="C88:D88"/>
    <mergeCell ref="C89:D89"/>
    <mergeCell ref="C90:D90"/>
    <mergeCell ref="C91:D91"/>
    <mergeCell ref="C92:D92"/>
    <mergeCell ref="C93:D93"/>
    <mergeCell ref="C81:E81"/>
    <mergeCell ref="C67:D67"/>
    <mergeCell ref="C68:D68"/>
    <mergeCell ref="C69:D69"/>
    <mergeCell ref="C70:D70"/>
    <mergeCell ref="C71:D71"/>
    <mergeCell ref="B72:E72"/>
    <mergeCell ref="C74:E74"/>
    <mergeCell ref="C75:E75"/>
    <mergeCell ref="B76:E76"/>
    <mergeCell ref="C79:E79"/>
    <mergeCell ref="C80:E80"/>
    <mergeCell ref="C66:D66"/>
    <mergeCell ref="C51:E51"/>
    <mergeCell ref="C52:E52"/>
    <mergeCell ref="C53:E53"/>
    <mergeCell ref="C54:E54"/>
    <mergeCell ref="B55:E55"/>
    <mergeCell ref="C57:D57"/>
    <mergeCell ref="C58:D58"/>
    <mergeCell ref="C59:D59"/>
    <mergeCell ref="C60:D60"/>
    <mergeCell ref="B61:E61"/>
    <mergeCell ref="C65:D65"/>
    <mergeCell ref="C50:E50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B47:E47"/>
    <mergeCell ref="C49:E49"/>
    <mergeCell ref="B37:F37"/>
    <mergeCell ref="C24:E24"/>
    <mergeCell ref="C25:E25"/>
    <mergeCell ref="C26:E26"/>
    <mergeCell ref="C27:E27"/>
    <mergeCell ref="C28:E28"/>
    <mergeCell ref="C29:E29"/>
    <mergeCell ref="B30:E30"/>
    <mergeCell ref="C33:D33"/>
    <mergeCell ref="C34:D34"/>
    <mergeCell ref="C35:D35"/>
    <mergeCell ref="B36:E36"/>
    <mergeCell ref="C23:E23"/>
    <mergeCell ref="C11:E11"/>
    <mergeCell ref="C12:E12"/>
    <mergeCell ref="C14:D14"/>
    <mergeCell ref="E14:F14"/>
    <mergeCell ref="D15:F15"/>
    <mergeCell ref="D16:F16"/>
    <mergeCell ref="C17:E17"/>
    <mergeCell ref="B18:F18"/>
    <mergeCell ref="B19:E19"/>
    <mergeCell ref="C21:E21"/>
    <mergeCell ref="C22:E22"/>
    <mergeCell ref="C10:E10"/>
    <mergeCell ref="B1:F1"/>
    <mergeCell ref="B2:D2"/>
    <mergeCell ref="B3:F3"/>
    <mergeCell ref="B4:F4"/>
    <mergeCell ref="B5:C5"/>
    <mergeCell ref="D5:F5"/>
    <mergeCell ref="B6:C6"/>
    <mergeCell ref="D6:E6"/>
    <mergeCell ref="B7:F7"/>
    <mergeCell ref="C8:E8"/>
    <mergeCell ref="D9:F9"/>
  </mergeCells>
  <pageMargins left="0.511811024" right="0.511811024" top="0.78740157499999996" bottom="0.78740157499999996" header="0.31496062000000002" footer="0.31496062000000002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6519-B1F9-4BC0-BDAE-203CFF3C41B3}">
  <sheetPr>
    <pageSetUpPr fitToPage="1"/>
  </sheetPr>
  <dimension ref="A1:AMJ107"/>
  <sheetViews>
    <sheetView topLeftCell="A93" workbookViewId="0">
      <selection activeCell="F104" sqref="F104"/>
    </sheetView>
  </sheetViews>
  <sheetFormatPr defaultColWidth="9.140625" defaultRowHeight="16.5" x14ac:dyDescent="0.3"/>
  <cols>
    <col min="1" max="1" width="2.7109375" style="4" customWidth="1"/>
    <col min="2" max="2" width="8.85546875" style="4" customWidth="1"/>
    <col min="3" max="3" width="55.28515625" style="4" customWidth="1"/>
    <col min="4" max="4" width="7.85546875" style="4" customWidth="1"/>
    <col min="5" max="5" width="13.5703125" style="4" customWidth="1"/>
    <col min="6" max="6" width="15.42578125" style="4" customWidth="1"/>
    <col min="7" max="1024" width="9.140625" style="4"/>
  </cols>
  <sheetData>
    <row r="1" spans="2:6" ht="20.25" x14ac:dyDescent="0.35">
      <c r="B1" s="150" t="str">
        <f>RAMO</f>
        <v>RAMO: ESCOLA SUPERIOR DO MINISTÉRIO PÚBLICO DA UNIÃO</v>
      </c>
      <c r="C1" s="150"/>
      <c r="D1" s="150"/>
      <c r="E1" s="150"/>
      <c r="F1" s="150"/>
    </row>
    <row r="2" spans="2:6" ht="20.25" x14ac:dyDescent="0.35">
      <c r="B2" s="151" t="str">
        <f>UG</f>
        <v>UNIDADE GESTORA (SIGLA): ESMPU</v>
      </c>
      <c r="C2" s="151"/>
      <c r="D2" s="151"/>
      <c r="E2" s="71" t="s">
        <v>2</v>
      </c>
      <c r="F2" s="72">
        <f>DATA_DO_ORCAMENTO_ESTIMATIVO</f>
        <v>45702</v>
      </c>
    </row>
    <row r="3" spans="2:6" s="6" customFormat="1" ht="25.5" x14ac:dyDescent="0.5">
      <c r="B3" s="124" t="s">
        <v>243</v>
      </c>
      <c r="C3" s="124"/>
      <c r="D3" s="124"/>
      <c r="E3" s="124"/>
      <c r="F3" s="124"/>
    </row>
    <row r="4" spans="2:6" s="6" customFormat="1" ht="15.95" customHeight="1" x14ac:dyDescent="0.3">
      <c r="B4" s="125" t="s">
        <v>4</v>
      </c>
      <c r="C4" s="125"/>
      <c r="D4" s="125"/>
      <c r="E4" s="125"/>
      <c r="F4" s="125"/>
    </row>
    <row r="5" spans="2:6" s="6" customFormat="1" ht="15.95" customHeight="1" x14ac:dyDescent="0.3">
      <c r="B5" s="126" t="s">
        <v>244</v>
      </c>
      <c r="C5" s="126"/>
      <c r="D5" s="152" t="str">
        <f>NUMERO_PROCESSO</f>
        <v>0.01.000.1.003277/2024-10</v>
      </c>
      <c r="E5" s="152"/>
      <c r="F5" s="152"/>
    </row>
    <row r="6" spans="2:6" s="6" customFormat="1" ht="15.75" customHeight="1" x14ac:dyDescent="0.3">
      <c r="B6" s="128" t="s">
        <v>245</v>
      </c>
      <c r="C6" s="128"/>
      <c r="D6" s="153" t="str">
        <f>MODALIDADE_DE_LICITACAO</f>
        <v>Pregão nº</v>
      </c>
      <c r="E6" s="153"/>
      <c r="F6" s="73" t="str">
        <f>NUMERO_PREGAO</f>
        <v>XX/20XX</v>
      </c>
    </row>
    <row r="7" spans="2:6" s="6" customFormat="1" ht="15.75" customHeight="1" x14ac:dyDescent="0.3">
      <c r="B7" s="154" t="s">
        <v>246</v>
      </c>
      <c r="C7" s="154"/>
      <c r="D7" s="154"/>
      <c r="E7" s="154"/>
      <c r="F7" s="154"/>
    </row>
    <row r="8" spans="2:6" s="6" customFormat="1" ht="18" customHeight="1" x14ac:dyDescent="0.3">
      <c r="B8" s="10" t="s">
        <v>14</v>
      </c>
      <c r="C8" s="126" t="s">
        <v>15</v>
      </c>
      <c r="D8" s="126"/>
      <c r="E8" s="126"/>
      <c r="F8" s="74" t="str">
        <f>DATA_APRESENTACAO_PROPOSTA</f>
        <v>XX/XX/20XX</v>
      </c>
    </row>
    <row r="9" spans="2:6" s="6" customFormat="1" ht="15.95" customHeight="1" x14ac:dyDescent="0.15">
      <c r="B9" s="12" t="s">
        <v>16</v>
      </c>
      <c r="C9" s="13" t="s">
        <v>17</v>
      </c>
      <c r="D9" s="145" t="str">
        <f>IF(LOCAL_DE_EXECUCAO="","",LOCAL_DE_EXECUCAO)</f>
        <v>SEDE DA ESMPU</v>
      </c>
      <c r="E9" s="145"/>
      <c r="F9" s="145"/>
    </row>
    <row r="10" spans="2:6" s="6" customFormat="1" ht="18.75" customHeight="1" x14ac:dyDescent="0.3">
      <c r="B10" s="10" t="s">
        <v>19</v>
      </c>
      <c r="C10" s="126" t="s">
        <v>23</v>
      </c>
      <c r="D10" s="126"/>
      <c r="E10" s="126"/>
      <c r="F10" s="75" t="str">
        <f>ACORDO_COLETIVO</f>
        <v>01/2025</v>
      </c>
    </row>
    <row r="11" spans="2:6" s="6" customFormat="1" ht="15.95" customHeight="1" x14ac:dyDescent="0.3">
      <c r="B11" s="12" t="s">
        <v>22</v>
      </c>
      <c r="C11" s="145" t="s">
        <v>26</v>
      </c>
      <c r="D11" s="145"/>
      <c r="E11" s="145"/>
      <c r="F11" s="40">
        <f>NUMERO_MESES_EXEC_CONTRATUAL</f>
        <v>12</v>
      </c>
    </row>
    <row r="12" spans="2:6" s="6" customFormat="1" x14ac:dyDescent="0.15">
      <c r="B12" s="12" t="s">
        <v>25</v>
      </c>
      <c r="C12" s="155" t="s">
        <v>247</v>
      </c>
      <c r="D12" s="155"/>
      <c r="E12" s="155"/>
      <c r="F12" s="103">
        <f>'INSERÇÃO-DE-DADOS'!F20</f>
        <v>3</v>
      </c>
    </row>
    <row r="13" spans="2:6" s="76" customFormat="1" ht="15" customHeight="1" x14ac:dyDescent="0.2">
      <c r="B13" s="77" t="s">
        <v>68</v>
      </c>
      <c r="C13" s="78"/>
      <c r="D13" s="78"/>
      <c r="E13" s="78"/>
      <c r="F13" s="78"/>
    </row>
    <row r="14" spans="2:6" s="6" customFormat="1" x14ac:dyDescent="0.3">
      <c r="B14" s="10">
        <v>1</v>
      </c>
      <c r="C14" s="24" t="s">
        <v>248</v>
      </c>
      <c r="D14" s="164" t="str">
        <f>'INSERÇÃO-DE-DADOS'!C20</f>
        <v>Carregador</v>
      </c>
      <c r="E14" s="156"/>
      <c r="F14" s="156"/>
    </row>
    <row r="15" spans="2:6" s="6" customFormat="1" x14ac:dyDescent="0.3">
      <c r="B15" s="10">
        <v>2</v>
      </c>
      <c r="C15" s="25" t="s">
        <v>249</v>
      </c>
      <c r="D15" s="156" t="str">
        <f>'INSERÇÃO-DE-DADOS'!D30</f>
        <v>7832-10</v>
      </c>
      <c r="E15" s="156"/>
      <c r="F15" s="156"/>
    </row>
    <row r="16" spans="2:6" s="6" customFormat="1" ht="15" customHeight="1" x14ac:dyDescent="0.3">
      <c r="B16" s="10">
        <v>3</v>
      </c>
      <c r="C16" s="24" t="s">
        <v>64</v>
      </c>
      <c r="D16" s="152" t="str">
        <f>IF(CATEGORIA_PROFISSIONAL="","",CATEGORIA_PROFISSIONAL)</f>
        <v>Apoio Administrativo</v>
      </c>
      <c r="E16" s="152"/>
      <c r="F16" s="152"/>
    </row>
    <row r="17" spans="2:6" s="6" customFormat="1" ht="15" customHeight="1" x14ac:dyDescent="0.3">
      <c r="B17" s="10">
        <v>4</v>
      </c>
      <c r="C17" s="128" t="s">
        <v>66</v>
      </c>
      <c r="D17" s="128"/>
      <c r="E17" s="128"/>
      <c r="F17" s="79">
        <f>DATA_BASE_CATEGORIA</f>
        <v>45658</v>
      </c>
    </row>
    <row r="18" spans="2:6" s="80" customFormat="1" ht="20.25" customHeight="1" x14ac:dyDescent="0.3">
      <c r="B18" s="157" t="s">
        <v>250</v>
      </c>
      <c r="C18" s="157"/>
      <c r="D18" s="157"/>
      <c r="E18" s="157"/>
      <c r="F18" s="157"/>
    </row>
    <row r="19" spans="2:6" x14ac:dyDescent="0.3">
      <c r="B19" s="138" t="s">
        <v>251</v>
      </c>
      <c r="C19" s="138"/>
      <c r="D19" s="138"/>
      <c r="E19" s="138"/>
      <c r="F19" s="81">
        <f>IF(EMPREG_POR_POSTO="","",EMPREG_POR_POSTO)</f>
        <v>1</v>
      </c>
    </row>
    <row r="20" spans="2:6" x14ac:dyDescent="0.3">
      <c r="B20" s="31" t="s">
        <v>69</v>
      </c>
      <c r="E20" s="32"/>
      <c r="F20" s="32"/>
    </row>
    <row r="21" spans="2:6" ht="16.5" customHeight="1" x14ac:dyDescent="0.3">
      <c r="B21" s="12">
        <v>1</v>
      </c>
      <c r="C21" s="133" t="s">
        <v>70</v>
      </c>
      <c r="D21" s="133"/>
      <c r="E21" s="133"/>
      <c r="F21" s="33" t="s">
        <v>122</v>
      </c>
    </row>
    <row r="22" spans="2:6" ht="16.5" customHeight="1" x14ac:dyDescent="0.3">
      <c r="B22" s="12" t="s">
        <v>14</v>
      </c>
      <c r="C22" s="134" t="s">
        <v>252</v>
      </c>
      <c r="D22" s="134"/>
      <c r="E22" s="134"/>
      <c r="F22" s="82">
        <f>'INSERÇÃO-DE-DADOS'!F44</f>
        <v>1743.69</v>
      </c>
    </row>
    <row r="23" spans="2:6" ht="16.5" customHeight="1" x14ac:dyDescent="0.3">
      <c r="B23" s="12" t="s">
        <v>16</v>
      </c>
      <c r="C23" s="132" t="s">
        <v>253</v>
      </c>
      <c r="D23" s="132"/>
      <c r="E23" s="132"/>
      <c r="F23" s="83">
        <f>PERC_ADIC_PERIC%*SALARIO_BASE</f>
        <v>0</v>
      </c>
    </row>
    <row r="24" spans="2:6" ht="15.75" customHeight="1" x14ac:dyDescent="0.3">
      <c r="B24" s="12" t="s">
        <v>19</v>
      </c>
      <c r="C24" s="159" t="s">
        <v>254</v>
      </c>
      <c r="D24" s="159"/>
      <c r="E24" s="159"/>
      <c r="F24" s="82">
        <f>((AL_1_A_SAL_BASE+AL_1_B_ADIC_PERIC)/DIVISOR_DE_HORAS)*DIAS_NA_SEMANA*MEDIA_ANUAL_DIAS_TRABALHO_MES*PERC_ADIC_NOT%</f>
        <v>0</v>
      </c>
    </row>
    <row r="25" spans="2:6" ht="15.75" customHeight="1" x14ac:dyDescent="0.3">
      <c r="B25" s="12" t="s">
        <v>22</v>
      </c>
      <c r="C25" s="132" t="s">
        <v>255</v>
      </c>
      <c r="D25" s="132"/>
      <c r="E25" s="132"/>
      <c r="F25" s="83">
        <f>((AL_1_A_SAL_BASE+AL_1_B_ADIC_PERIC)/DIVISOR_DE_HORAS)*((HORA_NORMAL-HORA_NOTURNA)/HORA_NOTURNA)*DIAS_NA_SEMANA*MEDIA_ANUAL_DIAS_TRABALHO_MES*PERC_ADIC_NOT%</f>
        <v>0</v>
      </c>
    </row>
    <row r="26" spans="2:6" ht="15.75" customHeight="1" x14ac:dyDescent="0.3">
      <c r="B26" s="12" t="s">
        <v>25</v>
      </c>
      <c r="C26" s="143" t="s">
        <v>256</v>
      </c>
      <c r="D26" s="143"/>
      <c r="E26" s="143"/>
      <c r="F26" s="82">
        <f>PERC_ADIC_INS%*SAL_MINIMO</f>
        <v>0</v>
      </c>
    </row>
    <row r="27" spans="2:6" x14ac:dyDescent="0.3">
      <c r="B27" s="12" t="s">
        <v>90</v>
      </c>
      <c r="C27" s="135" t="str">
        <f>OUTROS_REMUNERACAO_1_DESCRICAO</f>
        <v>Outras Remunerações 1 (Especificar)</v>
      </c>
      <c r="D27" s="135"/>
      <c r="E27" s="135"/>
      <c r="F27" s="83">
        <f>OUTROS_REMUNERACAO_1</f>
        <v>0</v>
      </c>
    </row>
    <row r="28" spans="2:6" x14ac:dyDescent="0.3">
      <c r="B28" s="12" t="s">
        <v>92</v>
      </c>
      <c r="C28" s="134" t="str">
        <f>OUTROS_REMUNERACAO_2_DESCRICAO</f>
        <v>Outras Remunerações 2 (Especificar)</v>
      </c>
      <c r="D28" s="134"/>
      <c r="E28" s="134"/>
      <c r="F28" s="82">
        <f>OUTROS_REMUNERACAO_2</f>
        <v>0</v>
      </c>
    </row>
    <row r="29" spans="2:6" x14ac:dyDescent="0.3">
      <c r="B29" s="12" t="s">
        <v>200</v>
      </c>
      <c r="C29" s="135" t="str">
        <f>OUTROS_REMUNERACAO_3_DESCRICAO</f>
        <v>Outras Remunerações 3 (Especificar)</v>
      </c>
      <c r="D29" s="135"/>
      <c r="E29" s="135"/>
      <c r="F29" s="83">
        <f>OUTROS_REMUNERACAO_3</f>
        <v>0</v>
      </c>
    </row>
    <row r="30" spans="2:6" ht="16.5" customHeight="1" x14ac:dyDescent="0.3">
      <c r="B30" s="133" t="s">
        <v>225</v>
      </c>
      <c r="C30" s="133"/>
      <c r="D30" s="133"/>
      <c r="E30" s="133"/>
      <c r="F30" s="84">
        <f>SUM(F22:F29)</f>
        <v>1743.69</v>
      </c>
    </row>
    <row r="31" spans="2:6" x14ac:dyDescent="0.3">
      <c r="B31" s="31" t="s">
        <v>94</v>
      </c>
      <c r="E31" s="37"/>
      <c r="F31" s="37"/>
    </row>
    <row r="32" spans="2:6" x14ac:dyDescent="0.3">
      <c r="B32" s="31" t="s">
        <v>206</v>
      </c>
      <c r="C32" s="43"/>
      <c r="D32" s="44"/>
      <c r="E32" s="45"/>
      <c r="F32" s="45"/>
    </row>
    <row r="33" spans="2:6" x14ac:dyDescent="0.3">
      <c r="B33" s="12" t="s">
        <v>207</v>
      </c>
      <c r="C33" s="138" t="s">
        <v>208</v>
      </c>
      <c r="D33" s="138"/>
      <c r="E33" s="33" t="s">
        <v>112</v>
      </c>
      <c r="F33" s="33" t="s">
        <v>122</v>
      </c>
    </row>
    <row r="34" spans="2:6" ht="16.5" customHeight="1" x14ac:dyDescent="0.3">
      <c r="B34" s="12" t="s">
        <v>14</v>
      </c>
      <c r="C34" s="143" t="s">
        <v>210</v>
      </c>
      <c r="D34" s="143"/>
      <c r="E34" s="66">
        <f>PERC_DEC_TERC</f>
        <v>8.3333333333333321</v>
      </c>
      <c r="F34" s="63">
        <f>PERC_DEC_TERC%*MOD_1_REMUNERACAO</f>
        <v>145.30749999999998</v>
      </c>
    </row>
    <row r="35" spans="2:6" ht="16.5" customHeight="1" x14ac:dyDescent="0.3">
      <c r="B35" s="33" t="s">
        <v>16</v>
      </c>
      <c r="C35" s="132" t="s">
        <v>212</v>
      </c>
      <c r="D35" s="132"/>
      <c r="E35" s="67">
        <f>PERC_ADIC_FERIAS</f>
        <v>2.7777777777777777</v>
      </c>
      <c r="F35" s="64">
        <f>PERC_ADIC_FERIAS%*MOD_1_REMUNERACAO</f>
        <v>48.435833333333335</v>
      </c>
    </row>
    <row r="36" spans="2:6" s="36" customFormat="1" x14ac:dyDescent="0.3">
      <c r="B36" s="138" t="s">
        <v>225</v>
      </c>
      <c r="C36" s="138"/>
      <c r="D36" s="138"/>
      <c r="E36" s="138"/>
      <c r="F36" s="85">
        <f>SUM(F34:F35)</f>
        <v>193.74333333333331</v>
      </c>
    </row>
    <row r="37" spans="2:6" s="36" customFormat="1" ht="31.5" customHeight="1" x14ac:dyDescent="0.3">
      <c r="B37" s="158" t="s">
        <v>214</v>
      </c>
      <c r="C37" s="158"/>
      <c r="D37" s="158"/>
      <c r="E37" s="158"/>
      <c r="F37" s="158"/>
    </row>
    <row r="38" spans="2:6" s="36" customFormat="1" ht="34.5" customHeight="1" x14ac:dyDescent="0.3">
      <c r="B38" s="12" t="s">
        <v>215</v>
      </c>
      <c r="C38" s="147" t="s">
        <v>216</v>
      </c>
      <c r="D38" s="147"/>
      <c r="E38" s="33" t="s">
        <v>112</v>
      </c>
      <c r="F38" s="33" t="s">
        <v>122</v>
      </c>
    </row>
    <row r="39" spans="2:6" ht="16.5" customHeight="1" x14ac:dyDescent="0.3">
      <c r="B39" s="12" t="s">
        <v>14</v>
      </c>
      <c r="C39" s="143" t="s">
        <v>217</v>
      </c>
      <c r="D39" s="143"/>
      <c r="E39" s="66">
        <f>PERC_INSS</f>
        <v>20</v>
      </c>
      <c r="F39" s="63">
        <f>PERC_INSS%*(MOD_1_REMUNERACAO+SUBMOD_2_1_DEC_TERC_ADIC_FERIAS)</f>
        <v>387.48666666666668</v>
      </c>
    </row>
    <row r="40" spans="2:6" s="6" customFormat="1" ht="16.5" customHeight="1" x14ac:dyDescent="0.15">
      <c r="B40" s="33" t="s">
        <v>16</v>
      </c>
      <c r="C40" s="132" t="s">
        <v>218</v>
      </c>
      <c r="D40" s="132"/>
      <c r="E40" s="68">
        <f>PERC_SAL_EDUCACAO</f>
        <v>2.5</v>
      </c>
      <c r="F40" s="64">
        <f>PERC_SAL_EDUCACAO%*(MOD_1_REMUNERACAO+SUBMOD_2_1_DEC_TERC_ADIC_FERIAS)</f>
        <v>48.435833333333335</v>
      </c>
    </row>
    <row r="41" spans="2:6" s="6" customFormat="1" ht="16.5" customHeight="1" x14ac:dyDescent="0.15">
      <c r="B41" s="33" t="s">
        <v>19</v>
      </c>
      <c r="C41" s="143" t="s">
        <v>219</v>
      </c>
      <c r="D41" s="143"/>
      <c r="E41" s="66">
        <f>PERC_RAT</f>
        <v>3</v>
      </c>
      <c r="F41" s="63">
        <f>PERC_RAT%*(MOD_1_REMUNERACAO+SUBMOD_2_1_DEC_TERC_ADIC_FERIAS)</f>
        <v>58.122999999999998</v>
      </c>
    </row>
    <row r="42" spans="2:6" s="6" customFormat="1" ht="16.5" customHeight="1" x14ac:dyDescent="0.15">
      <c r="B42" s="33" t="s">
        <v>22</v>
      </c>
      <c r="C42" s="132" t="s">
        <v>220</v>
      </c>
      <c r="D42" s="132"/>
      <c r="E42" s="67">
        <f>PERC_SESC</f>
        <v>1.5</v>
      </c>
      <c r="F42" s="64">
        <f>PERC_SESC%*(MOD_1_REMUNERACAO+SUBMOD_2_1_DEC_TERC_ADIC_FERIAS)</f>
        <v>29.061499999999999</v>
      </c>
    </row>
    <row r="43" spans="2:6" s="6" customFormat="1" ht="16.5" customHeight="1" x14ac:dyDescent="0.15">
      <c r="B43" s="33" t="s">
        <v>25</v>
      </c>
      <c r="C43" s="143" t="s">
        <v>221</v>
      </c>
      <c r="D43" s="143"/>
      <c r="E43" s="66">
        <f>PERC_SENAC</f>
        <v>1</v>
      </c>
      <c r="F43" s="63">
        <f>PERC_SENAC%*(MOD_1_REMUNERACAO+SUBMOD_2_1_DEC_TERC_ADIC_FERIAS)</f>
        <v>19.374333333333336</v>
      </c>
    </row>
    <row r="44" spans="2:6" s="6" customFormat="1" ht="16.5" customHeight="1" x14ac:dyDescent="0.15">
      <c r="B44" s="33" t="s">
        <v>90</v>
      </c>
      <c r="C44" s="132" t="s">
        <v>222</v>
      </c>
      <c r="D44" s="132"/>
      <c r="E44" s="68">
        <f>PERC_SEBRAE</f>
        <v>0.6</v>
      </c>
      <c r="F44" s="64">
        <f>PERC_SEBRAE%*(MOD_1_REMUNERACAO+SUBMOD_2_1_DEC_TERC_ADIC_FERIAS)</f>
        <v>11.624600000000001</v>
      </c>
    </row>
    <row r="45" spans="2:6" s="6" customFormat="1" ht="16.5" customHeight="1" x14ac:dyDescent="0.15">
      <c r="B45" s="33" t="s">
        <v>92</v>
      </c>
      <c r="C45" s="143" t="s">
        <v>223</v>
      </c>
      <c r="D45" s="143"/>
      <c r="E45" s="66">
        <f>PERC_INCRA</f>
        <v>0.2</v>
      </c>
      <c r="F45" s="63">
        <f>PERC_INCRA%*(MOD_1_REMUNERACAO+SUBMOD_2_1_DEC_TERC_ADIC_FERIAS)</f>
        <v>3.8748666666666667</v>
      </c>
    </row>
    <row r="46" spans="2:6" ht="16.5" customHeight="1" x14ac:dyDescent="0.3">
      <c r="B46" s="33" t="s">
        <v>200</v>
      </c>
      <c r="C46" s="132" t="s">
        <v>224</v>
      </c>
      <c r="D46" s="132"/>
      <c r="E46" s="68">
        <f>PERC_FGTS</f>
        <v>8</v>
      </c>
      <c r="F46" s="64">
        <f>PERC_FGTS%*(MOD_1_REMUNERACAO+SUBMOD_2_1_DEC_TERC_ADIC_FERIAS)</f>
        <v>154.99466666666669</v>
      </c>
    </row>
    <row r="47" spans="2:6" x14ac:dyDescent="0.3">
      <c r="B47" s="138" t="s">
        <v>225</v>
      </c>
      <c r="C47" s="138"/>
      <c r="D47" s="138"/>
      <c r="E47" s="138"/>
      <c r="F47" s="86">
        <f>SUM(F39:F46)</f>
        <v>712.97546666666665</v>
      </c>
    </row>
    <row r="48" spans="2:6" ht="15.75" customHeight="1" x14ac:dyDescent="0.3">
      <c r="B48" s="31" t="s">
        <v>95</v>
      </c>
      <c r="C48" s="6"/>
      <c r="D48" s="6"/>
      <c r="E48" s="6"/>
      <c r="F48" s="6"/>
    </row>
    <row r="49" spans="2:6" ht="15.75" customHeight="1" x14ac:dyDescent="0.3">
      <c r="B49" s="12" t="s">
        <v>96</v>
      </c>
      <c r="C49" s="133" t="s">
        <v>97</v>
      </c>
      <c r="D49" s="133"/>
      <c r="E49" s="133"/>
      <c r="F49" s="33" t="s">
        <v>122</v>
      </c>
    </row>
    <row r="50" spans="2:6" ht="16.5" customHeight="1" x14ac:dyDescent="0.3">
      <c r="B50" s="10" t="s">
        <v>14</v>
      </c>
      <c r="C50" s="143" t="s">
        <v>100</v>
      </c>
      <c r="D50" s="143"/>
      <c r="E50" s="143"/>
      <c r="F50" s="63">
        <f>IF(((TRANSPORTE_POR_DIA*DIAS_TRABALHADOS_NO_MES)-(PERC_DESC_TRANSP_REMUNERACAO%*(AL_1_A_SAL_BASE)))&gt;0,((TRANSPORTE_POR_DIA*DIAS_TRABALHADOS_NO_MES)-(PERC_DESC_TRANSP_REMUNERACAO%*(AL_1_A_SAL_BASE))),0)</f>
        <v>137.37860000000001</v>
      </c>
    </row>
    <row r="51" spans="2:6" s="36" customFormat="1" ht="16.5" customHeight="1" x14ac:dyDescent="0.3">
      <c r="B51" s="10" t="s">
        <v>16</v>
      </c>
      <c r="C51" s="132" t="s">
        <v>102</v>
      </c>
      <c r="D51" s="132"/>
      <c r="E51" s="132"/>
      <c r="F51" s="64">
        <f>ALIMENTACAO_POR_DIA*DIAS_TRABALHADOS_NO_MES</f>
        <v>974.59999999999991</v>
      </c>
    </row>
    <row r="52" spans="2:6" s="36" customFormat="1" x14ac:dyDescent="0.3">
      <c r="B52" s="10" t="s">
        <v>19</v>
      </c>
      <c r="C52" s="134" t="str">
        <f>OUTROS_BENEFICIOS_1_DESCRICAO</f>
        <v>Assistência Funeral - Seguro de Vida Coletivo</v>
      </c>
      <c r="D52" s="134"/>
      <c r="E52" s="134"/>
      <c r="F52" s="63">
        <f>OUTROS_BENEFICIOS_1</f>
        <v>3.61</v>
      </c>
    </row>
    <row r="53" spans="2:6" s="36" customFormat="1" x14ac:dyDescent="0.3">
      <c r="B53" s="10" t="s">
        <v>22</v>
      </c>
      <c r="C53" s="135" t="str">
        <f>OUTROS_BENEFICIOS_2_DESCRICAO</f>
        <v>Outros Benefícios 2 (Especificar)</v>
      </c>
      <c r="D53" s="135"/>
      <c r="E53" s="135"/>
      <c r="F53" s="64">
        <f>OUTROS_BENEFICIOS_2</f>
        <v>0</v>
      </c>
    </row>
    <row r="54" spans="2:6" s="36" customFormat="1" x14ac:dyDescent="0.3">
      <c r="B54" s="10" t="s">
        <v>25</v>
      </c>
      <c r="C54" s="134" t="str">
        <f>OUTROS_BENEFICIOS_3_DESCRICAO</f>
        <v>Outros Benefícios 3 (Especificar)</v>
      </c>
      <c r="D54" s="134"/>
      <c r="E54" s="134"/>
      <c r="F54" s="63">
        <f>OUTROS_BENEFICIOS_3</f>
        <v>0</v>
      </c>
    </row>
    <row r="55" spans="2:6" s="36" customFormat="1" ht="15" customHeight="1" x14ac:dyDescent="0.3">
      <c r="B55" s="133" t="s">
        <v>225</v>
      </c>
      <c r="C55" s="133"/>
      <c r="D55" s="133"/>
      <c r="E55" s="133"/>
      <c r="F55" s="84">
        <f>SUM(F50:F54)</f>
        <v>1115.5885999999998</v>
      </c>
    </row>
    <row r="56" spans="2:6" s="36" customFormat="1" x14ac:dyDescent="0.3">
      <c r="B56" s="31" t="s">
        <v>185</v>
      </c>
      <c r="C56" s="43"/>
      <c r="D56" s="44"/>
      <c r="E56" s="45"/>
      <c r="F56" s="45"/>
    </row>
    <row r="57" spans="2:6" s="36" customFormat="1" ht="15" customHeight="1" x14ac:dyDescent="0.3">
      <c r="B57" s="12">
        <v>3</v>
      </c>
      <c r="C57" s="138" t="s">
        <v>186</v>
      </c>
      <c r="D57" s="138"/>
      <c r="E57" s="33" t="s">
        <v>112</v>
      </c>
      <c r="F57" s="33" t="s">
        <v>122</v>
      </c>
    </row>
    <row r="58" spans="2:6" s="36" customFormat="1" x14ac:dyDescent="0.3">
      <c r="B58" s="12" t="s">
        <v>14</v>
      </c>
      <c r="C58" s="148" t="s">
        <v>226</v>
      </c>
      <c r="D58" s="148"/>
      <c r="E58" s="66">
        <f>PERC_AVISO_PREVIO_IND</f>
        <v>0.29105124999999998</v>
      </c>
      <c r="F58" s="63">
        <f>PERC_AVISO_PREVIO_IND%*(MOD_1_REMUNERACAO+SUBMOD_2_1_DEC_TERC_ADIC_FERIAS+AL_2_2_FGTS+SUBMOD_2_3_BENEFICIOS)</f>
        <v>9.3369724145074997</v>
      </c>
    </row>
    <row r="59" spans="2:6" s="36" customFormat="1" x14ac:dyDescent="0.3">
      <c r="B59" s="33" t="s">
        <v>16</v>
      </c>
      <c r="C59" s="149" t="s">
        <v>228</v>
      </c>
      <c r="D59" s="149"/>
      <c r="E59" s="68">
        <f>PERC_AVISO_PREVIO_TRAB</f>
        <v>1.1557269305555555</v>
      </c>
      <c r="F59" s="64">
        <f>PERC_AVISO_PREVIO_TRAB%*(MOD_1_REMUNERACAO+SUBMOD_2_1_DEC_TERC_ADIC_FERIAS+SUBMOD_2_2_GPS_FGTS+SUBMOD_2_3_BENEFICIOS)</f>
        <v>43.524646155822026</v>
      </c>
    </row>
    <row r="60" spans="2:6" s="6" customFormat="1" x14ac:dyDescent="0.15">
      <c r="B60" s="33" t="s">
        <v>19</v>
      </c>
      <c r="C60" s="148" t="s">
        <v>230</v>
      </c>
      <c r="D60" s="148"/>
      <c r="E60" s="66">
        <f>PERC_MULTA_FGTS_AV_PREV_TRAB</f>
        <v>0.04</v>
      </c>
      <c r="F60" s="63">
        <f>PERC_MULTA_FGTS_AV_PREV_TRAB%*(MOD_1_REMUNERACAO+SUBMOD_2_1_DEC_TERC_ADIC_FERIAS)</f>
        <v>0.7749733333333334</v>
      </c>
    </row>
    <row r="61" spans="2:6" s="6" customFormat="1" x14ac:dyDescent="0.3">
      <c r="B61" s="138" t="s">
        <v>225</v>
      </c>
      <c r="C61" s="138"/>
      <c r="D61" s="138"/>
      <c r="E61" s="138"/>
      <c r="F61" s="85">
        <f>SUM(F58:F60)</f>
        <v>53.636591903662861</v>
      </c>
    </row>
    <row r="62" spans="2:6" ht="7.5" customHeight="1" x14ac:dyDescent="0.3">
      <c r="B62" s="87"/>
      <c r="D62" s="23"/>
      <c r="E62" s="32"/>
      <c r="F62" s="32"/>
    </row>
    <row r="63" spans="2:6" s="6" customFormat="1" ht="15.95" customHeight="1" x14ac:dyDescent="0.3">
      <c r="B63" s="31" t="s">
        <v>108</v>
      </c>
      <c r="C63" s="43"/>
      <c r="D63" s="44"/>
      <c r="E63" s="4"/>
      <c r="F63" s="4"/>
    </row>
    <row r="64" spans="2:6" s="6" customFormat="1" ht="15.95" customHeight="1" x14ac:dyDescent="0.3">
      <c r="B64" s="31" t="s">
        <v>109</v>
      </c>
      <c r="C64" s="43"/>
      <c r="D64" s="44"/>
      <c r="E64" s="45"/>
      <c r="F64" s="45"/>
    </row>
    <row r="65" spans="2:6" s="6" customFormat="1" ht="16.5" customHeight="1" x14ac:dyDescent="0.15">
      <c r="B65" s="12" t="s">
        <v>110</v>
      </c>
      <c r="C65" s="133" t="s">
        <v>111</v>
      </c>
      <c r="D65" s="133"/>
      <c r="E65" s="33" t="s">
        <v>112</v>
      </c>
      <c r="F65" s="33" t="s">
        <v>122</v>
      </c>
    </row>
    <row r="66" spans="2:6" s="6" customFormat="1" ht="15.95" customHeight="1" x14ac:dyDescent="0.15">
      <c r="B66" s="33" t="s">
        <v>14</v>
      </c>
      <c r="C66" s="143" t="s">
        <v>232</v>
      </c>
      <c r="D66" s="143"/>
      <c r="E66" s="66">
        <f>PERC_SUBSTITUTO_FERIAS</f>
        <v>8.3333333333333321</v>
      </c>
      <c r="F66" s="63">
        <f>PERC_SUBSTITUTO_FERIAS%*(MOD_1_REMUNERACAO+MOD_2_ENCARGOS_BENEFICIOS+MOD_3_PROVISAO_RESCISAO)</f>
        <v>318.30283265863847</v>
      </c>
    </row>
    <row r="67" spans="2:6" s="6" customFormat="1" ht="15.95" customHeight="1" x14ac:dyDescent="0.15">
      <c r="B67" s="33" t="s">
        <v>16</v>
      </c>
      <c r="C67" s="132" t="s">
        <v>234</v>
      </c>
      <c r="D67" s="132"/>
      <c r="E67" s="68">
        <f>PERC_SUBSTITUTO_AUSENCIAS_LEGAIS</f>
        <v>2.2222222222222223</v>
      </c>
      <c r="F67" s="64">
        <f>PERC_SUBSTITUTO_AUSENCIAS_LEGAIS%*(MOD_1_REMUNERACAO+MOD_2_ENCARGOS_BENEFICIOS+MOD_3_PROVISAO_RESCISAO)</f>
        <v>84.880755375636951</v>
      </c>
    </row>
    <row r="68" spans="2:6" s="6" customFormat="1" ht="15.95" customHeight="1" x14ac:dyDescent="0.15">
      <c r="B68" s="33" t="s">
        <v>19</v>
      </c>
      <c r="C68" s="143" t="s">
        <v>236</v>
      </c>
      <c r="D68" s="143"/>
      <c r="E68" s="66">
        <f>PERC_SUBSTITUTO_LICENCA_PATERNIDADE</f>
        <v>3.5673555555555549E-2</v>
      </c>
      <c r="F68" s="63">
        <f>PERC_SUBSTITUTO_LICENCA_PATERNIDADE%*(MOD_1_REMUNERACAO+MOD_2_ENCARGOS_BENEFICIOS+MOD_3_PROVISAO_RESCISAO)</f>
        <v>1.3625992541206373</v>
      </c>
    </row>
    <row r="69" spans="2:6" s="6" customFormat="1" ht="16.5" customHeight="1" x14ac:dyDescent="0.15">
      <c r="B69" s="33" t="s">
        <v>22</v>
      </c>
      <c r="C69" s="132" t="s">
        <v>238</v>
      </c>
      <c r="D69" s="132"/>
      <c r="E69" s="68">
        <f>PERC_SUBSTITUTO_ACID_TRAB</f>
        <v>1.85302229372558E-2</v>
      </c>
      <c r="F69" s="64">
        <f>PERC_SUBSTITUTO_ACID_TRAB%*(MOD_1_REMUNERACAO+MOD_2_ENCARGOS_BENEFICIOS+MOD_3_PROVISAO_RESCISAO)</f>
        <v>0.70778669408695183</v>
      </c>
    </row>
    <row r="70" spans="2:6" s="6" customFormat="1" ht="16.5" customHeight="1" x14ac:dyDescent="0.15">
      <c r="B70" s="33" t="s">
        <v>25</v>
      </c>
      <c r="C70" s="143" t="s">
        <v>240</v>
      </c>
      <c r="D70" s="143"/>
      <c r="E70" s="66">
        <f>PERC_SUBSTITUTO_AFAST_MATERN</f>
        <v>0.14312918399999999</v>
      </c>
      <c r="F70" s="63">
        <f>PERC_SUBSTITUTO_AFAST_MATERN%*(MOD_1_REMUNERACAO+MOD_2_ENCARGOS_BENEFICIOS+MOD_3_PROVISAO_RESCISAO)</f>
        <v>5.4670109643983382</v>
      </c>
    </row>
    <row r="71" spans="2:6" s="6" customFormat="1" x14ac:dyDescent="0.15">
      <c r="B71" s="33" t="s">
        <v>90</v>
      </c>
      <c r="C71" s="160" t="str">
        <f>OUTRAS_AUSENCIAS_DESCRICAO</f>
        <v>Outras Ausências (Especificar - em %)</v>
      </c>
      <c r="D71" s="160"/>
      <c r="E71" s="88">
        <f>PERC_SUBSTITUTO_OUTRAS_AUSENCIAS</f>
        <v>0</v>
      </c>
      <c r="F71" s="64">
        <f>PERC_SUBSTITUTO_OUTRAS_AUSENCIAS%*(MOD_1_REMUNERACAO+MOD_2_ENCARGOS_BENEFICIOS+MOD_3_PROVISAO_RESCISAO)</f>
        <v>0</v>
      </c>
    </row>
    <row r="72" spans="2:6" s="6" customFormat="1" x14ac:dyDescent="0.3">
      <c r="B72" s="138" t="s">
        <v>225</v>
      </c>
      <c r="C72" s="138"/>
      <c r="D72" s="138"/>
      <c r="E72" s="138"/>
      <c r="F72" s="85">
        <f>SUM(F66:F71)</f>
        <v>410.7209849468814</v>
      </c>
    </row>
    <row r="73" spans="2:6" s="6" customFormat="1" ht="15" customHeight="1" x14ac:dyDescent="0.3">
      <c r="B73" s="31" t="s">
        <v>114</v>
      </c>
      <c r="C73" s="43"/>
      <c r="D73" s="44"/>
      <c r="E73" s="45"/>
      <c r="F73" s="45"/>
    </row>
    <row r="74" spans="2:6" s="6" customFormat="1" x14ac:dyDescent="0.15">
      <c r="B74" s="12" t="s">
        <v>115</v>
      </c>
      <c r="C74" s="138" t="s">
        <v>116</v>
      </c>
      <c r="D74" s="138"/>
      <c r="E74" s="138"/>
      <c r="F74" s="33" t="s">
        <v>122</v>
      </c>
    </row>
    <row r="75" spans="2:6" s="6" customFormat="1" ht="16.5" customHeight="1" x14ac:dyDescent="0.15">
      <c r="B75" s="12" t="s">
        <v>14</v>
      </c>
      <c r="C75" s="143" t="s">
        <v>257</v>
      </c>
      <c r="D75" s="143"/>
      <c r="E75" s="143"/>
      <c r="F75" s="82">
        <f>IF(DIAS_TRABALHADOS_NO_MES=15,((MOD_1_REMUNERACAO+MOD_2_ENCARGOS_BENEFICIOS+MOD_3_PROVISAO_RESCISAO)/DIVISOR_DE_HORAS)*((TEMPO_INTERVALO_REFEICAO/HORA_NORMAL)+PERC_HORA_EXTRA%)*DIAS_TRABALHADOS_NO_MES,0)</f>
        <v>0</v>
      </c>
    </row>
    <row r="76" spans="2:6" s="6" customFormat="1" x14ac:dyDescent="0.3">
      <c r="B76" s="138" t="s">
        <v>225</v>
      </c>
      <c r="C76" s="138"/>
      <c r="D76" s="138"/>
      <c r="E76" s="138"/>
      <c r="F76" s="85">
        <f>SUM(F75)</f>
        <v>0</v>
      </c>
    </row>
    <row r="77" spans="2:6" ht="7.5" customHeight="1" x14ac:dyDescent="0.3">
      <c r="B77" s="87"/>
      <c r="D77" s="23"/>
      <c r="E77" s="32"/>
      <c r="F77" s="32"/>
    </row>
    <row r="78" spans="2:6" x14ac:dyDescent="0.3">
      <c r="B78" s="31" t="s">
        <v>120</v>
      </c>
      <c r="C78" s="43"/>
      <c r="D78" s="43"/>
      <c r="E78" s="45"/>
      <c r="F78" s="45"/>
    </row>
    <row r="79" spans="2:6" ht="15.75" customHeight="1" x14ac:dyDescent="0.3">
      <c r="B79" s="46">
        <v>5</v>
      </c>
      <c r="C79" s="139" t="s">
        <v>121</v>
      </c>
      <c r="D79" s="139"/>
      <c r="E79" s="139"/>
      <c r="F79" s="47" t="s">
        <v>122</v>
      </c>
    </row>
    <row r="80" spans="2:6" ht="16.5" customHeight="1" x14ac:dyDescent="0.3">
      <c r="B80" s="48" t="s">
        <v>14</v>
      </c>
      <c r="C80" s="140" t="s">
        <v>258</v>
      </c>
      <c r="D80" s="140"/>
      <c r="E80" s="140"/>
      <c r="F80" s="89">
        <f>'INSERÇÃO-DE-DADOS'!F80</f>
        <v>64.44</v>
      </c>
    </row>
    <row r="81" spans="2:6" ht="16.5" customHeight="1" x14ac:dyDescent="0.3">
      <c r="B81" s="48" t="s">
        <v>16</v>
      </c>
      <c r="C81" s="141" t="s">
        <v>259</v>
      </c>
      <c r="D81" s="141"/>
      <c r="E81" s="141"/>
      <c r="F81" s="90">
        <f>MATERIAIS</f>
        <v>0</v>
      </c>
    </row>
    <row r="82" spans="2:6" ht="16.5" customHeight="1" x14ac:dyDescent="0.3">
      <c r="B82" s="48" t="s">
        <v>19</v>
      </c>
      <c r="C82" s="140" t="s">
        <v>260</v>
      </c>
      <c r="D82" s="140"/>
      <c r="E82" s="140"/>
      <c r="F82" s="89">
        <f>EQUIPAMENTOS</f>
        <v>1.22</v>
      </c>
    </row>
    <row r="83" spans="2:6" x14ac:dyDescent="0.3">
      <c r="B83" s="48" t="s">
        <v>22</v>
      </c>
      <c r="C83" s="161" t="str">
        <f>OUTROS_INSUMOS_DESCRICAO</f>
        <v>Outros (Especificar)</v>
      </c>
      <c r="D83" s="161"/>
      <c r="E83" s="161"/>
      <c r="F83" s="90">
        <f>OUTROS_INSUMOS</f>
        <v>0</v>
      </c>
    </row>
    <row r="84" spans="2:6" ht="16.5" customHeight="1" x14ac:dyDescent="0.3">
      <c r="B84" s="139" t="s">
        <v>225</v>
      </c>
      <c r="C84" s="139"/>
      <c r="D84" s="139"/>
      <c r="E84" s="139"/>
      <c r="F84" s="91">
        <f>SUM(F80:F83)</f>
        <v>65.66</v>
      </c>
    </row>
    <row r="85" spans="2:6" ht="7.5" customHeight="1" x14ac:dyDescent="0.3">
      <c r="B85" s="87"/>
      <c r="D85" s="23"/>
      <c r="E85" s="32"/>
      <c r="F85" s="32"/>
    </row>
    <row r="86" spans="2:6" ht="15" customHeight="1" x14ac:dyDescent="0.3">
      <c r="B86" s="142" t="s">
        <v>159</v>
      </c>
      <c r="C86" s="142"/>
      <c r="D86" s="142"/>
      <c r="E86" s="142"/>
      <c r="F86" s="142"/>
    </row>
    <row r="87" spans="2:6" x14ac:dyDescent="0.3">
      <c r="B87" s="12">
        <v>6</v>
      </c>
      <c r="C87" s="138" t="s">
        <v>160</v>
      </c>
      <c r="D87" s="138"/>
      <c r="E87" s="33" t="s">
        <v>112</v>
      </c>
      <c r="F87" s="33" t="s">
        <v>122</v>
      </c>
    </row>
    <row r="88" spans="2:6" ht="16.5" customHeight="1" x14ac:dyDescent="0.3">
      <c r="B88" s="12" t="s">
        <v>14</v>
      </c>
      <c r="C88" s="143" t="s">
        <v>161</v>
      </c>
      <c r="D88" s="143"/>
      <c r="E88" s="92">
        <f>PERC_CUSTOS_INDIRETOS</f>
        <v>4.7300000000000004</v>
      </c>
      <c r="F88" s="63">
        <f>PERC_CUSTOS_INDIRETOS%*(MOD_1_REMUNERACAO+MOD_2_ENCARGOS_BENEFICIOS+MOD_3_PROVISAO_RESCISAO+MOD_4_CUSTO_REPOSICAO+MOD_5_INSUMOS)</f>
        <v>203.20150840503075</v>
      </c>
    </row>
    <row r="89" spans="2:6" ht="15.75" customHeight="1" x14ac:dyDescent="0.3">
      <c r="B89" s="33" t="s">
        <v>16</v>
      </c>
      <c r="C89" s="132" t="s">
        <v>162</v>
      </c>
      <c r="D89" s="132"/>
      <c r="E89" s="93">
        <f>PERC_LUCRO</f>
        <v>5.45</v>
      </c>
      <c r="F89" s="64">
        <f>PERC_LUCRO%*(MOD_1_REMUNERACAO+MOD_2_ENCARGOS_BENEFICIOS+MOD_3_PROVISAO_RESCISAO+MOD_4_CUSTO_REPOSICAO+MOD_5_INSUMOS+AL_6_A_CUSTOS_INDIRETOS)</f>
        <v>245.20729844642884</v>
      </c>
    </row>
    <row r="90" spans="2:6" ht="16.5" customHeight="1" x14ac:dyDescent="0.3">
      <c r="B90" s="33" t="s">
        <v>19</v>
      </c>
      <c r="C90" s="143" t="s">
        <v>261</v>
      </c>
      <c r="D90" s="143"/>
      <c r="E90" s="92">
        <f>SUM(E91:E93)</f>
        <v>8.65</v>
      </c>
      <c r="F90" s="63">
        <f>SUM(F91:F93)</f>
        <v>449.25304574737095</v>
      </c>
    </row>
    <row r="91" spans="2:6" ht="15.75" customHeight="1" x14ac:dyDescent="0.3">
      <c r="B91" s="54" t="s">
        <v>163</v>
      </c>
      <c r="C91" s="162" t="s">
        <v>164</v>
      </c>
      <c r="D91" s="162"/>
      <c r="E91" s="94">
        <f>PERC_PIS</f>
        <v>0.65</v>
      </c>
      <c r="F91" s="95">
        <f>((MOD_1_REMUNERACAO+MOD_2_ENCARGOS_BENEFICIOS+MOD_3_PROVISAO_RESCISAO+MOD_4_CUSTO_REPOSICAO+MOD_5_INSUMOS+AL_6_A_CUSTOS_INDIRETOS+AL_6_B_LUCRO)*PERC_PIS%)/(1-PERC_TRIBUTOS%)</f>
        <v>33.75889939142094</v>
      </c>
    </row>
    <row r="92" spans="2:6" ht="16.5" customHeight="1" x14ac:dyDescent="0.3">
      <c r="B92" s="54" t="s">
        <v>165</v>
      </c>
      <c r="C92" s="163" t="s">
        <v>166</v>
      </c>
      <c r="D92" s="163"/>
      <c r="E92" s="96">
        <f>PERC_COFINS</f>
        <v>3</v>
      </c>
      <c r="F92" s="97">
        <f>((MOD_1_REMUNERACAO+MOD_2_ENCARGOS_BENEFICIOS+MOD_3_PROVISAO_RESCISAO+MOD_4_CUSTO_REPOSICAO+MOD_5_INSUMOS+AL_6_A_CUSTOS_INDIRETOS+AL_6_B_LUCRO)*PERC_COFINS%)/(1-PERC_TRIBUTOS%)</f>
        <v>155.81030488348122</v>
      </c>
    </row>
    <row r="93" spans="2:6" s="50" customFormat="1" ht="16.5" customHeight="1" x14ac:dyDescent="0.3">
      <c r="B93" s="54" t="s">
        <v>167</v>
      </c>
      <c r="C93" s="162" t="s">
        <v>168</v>
      </c>
      <c r="D93" s="162"/>
      <c r="E93" s="94">
        <f>PERC_ISS</f>
        <v>5</v>
      </c>
      <c r="F93" s="95">
        <f>((MOD_1_REMUNERACAO+MOD_2_ENCARGOS_BENEFICIOS+MOD_3_PROVISAO_RESCISAO+MOD_4_CUSTO_REPOSICAO+MOD_5_INSUMOS+AL_6_A_CUSTOS_INDIRETOS+AL_6_B_LUCRO)*PERC_ISS%)/(1-PERC_TRIBUTOS%)</f>
        <v>259.68384147246877</v>
      </c>
    </row>
    <row r="94" spans="2:6" s="50" customFormat="1" x14ac:dyDescent="0.3">
      <c r="B94" s="138" t="s">
        <v>225</v>
      </c>
      <c r="C94" s="138"/>
      <c r="D94" s="138"/>
      <c r="E94" s="138"/>
      <c r="F94" s="98">
        <f>AL_6_A_CUSTOS_INDIRETOS+AL_6_B_LUCRO+AL_6_C_TRIBUTOS</f>
        <v>897.66185259883059</v>
      </c>
    </row>
    <row r="95" spans="2:6" s="50" customFormat="1" ht="20.25" x14ac:dyDescent="0.3">
      <c r="B95" s="99" t="s">
        <v>262</v>
      </c>
      <c r="C95" s="100"/>
      <c r="D95" s="100"/>
      <c r="E95" s="100"/>
      <c r="F95" s="101"/>
    </row>
    <row r="96" spans="2:6" s="51" customFormat="1" ht="16.5" customHeight="1" x14ac:dyDescent="0.3">
      <c r="B96" s="33" t="s">
        <v>263</v>
      </c>
      <c r="C96" s="133" t="s">
        <v>264</v>
      </c>
      <c r="D96" s="133"/>
      <c r="E96" s="133"/>
      <c r="F96" s="33" t="s">
        <v>265</v>
      </c>
    </row>
    <row r="97" spans="2:6" s="50" customFormat="1" ht="16.5" customHeight="1" x14ac:dyDescent="0.3">
      <c r="B97" s="12">
        <v>1</v>
      </c>
      <c r="C97" s="143" t="s">
        <v>70</v>
      </c>
      <c r="D97" s="143"/>
      <c r="E97" s="143"/>
      <c r="F97" s="63">
        <f>MOD_1_REMUNERACAO</f>
        <v>1743.69</v>
      </c>
    </row>
    <row r="98" spans="2:6" s="52" customFormat="1" ht="16.5" customHeight="1" x14ac:dyDescent="0.3">
      <c r="B98" s="33">
        <v>2</v>
      </c>
      <c r="C98" s="132" t="s">
        <v>266</v>
      </c>
      <c r="D98" s="132"/>
      <c r="E98" s="132"/>
      <c r="F98" s="64">
        <f>MOD_2_ENCARGOS_BENEFICIOS</f>
        <v>2022.3073999999997</v>
      </c>
    </row>
    <row r="99" spans="2:6" s="52" customFormat="1" ht="16.5" customHeight="1" x14ac:dyDescent="0.3">
      <c r="B99" s="33">
        <v>3</v>
      </c>
      <c r="C99" s="143" t="s">
        <v>186</v>
      </c>
      <c r="D99" s="143"/>
      <c r="E99" s="143"/>
      <c r="F99" s="63">
        <f>MOD_3_PROVISAO_RESCISAO</f>
        <v>53.636591903662861</v>
      </c>
    </row>
    <row r="100" spans="2:6" s="52" customFormat="1" ht="16.5" customHeight="1" x14ac:dyDescent="0.3">
      <c r="B100" s="33">
        <v>4</v>
      </c>
      <c r="C100" s="132" t="s">
        <v>267</v>
      </c>
      <c r="D100" s="132"/>
      <c r="E100" s="132"/>
      <c r="F100" s="64">
        <f>MOD_4_CUSTO_REPOSICAO</f>
        <v>410.7209849468814</v>
      </c>
    </row>
    <row r="101" spans="2:6" s="52" customFormat="1" ht="16.5" customHeight="1" x14ac:dyDescent="0.3">
      <c r="B101" s="33">
        <v>5</v>
      </c>
      <c r="C101" s="143" t="s">
        <v>121</v>
      </c>
      <c r="D101" s="143"/>
      <c r="E101" s="143"/>
      <c r="F101" s="63">
        <f>MOD_5_INSUMOS</f>
        <v>65.66</v>
      </c>
    </row>
    <row r="102" spans="2:6" s="52" customFormat="1" ht="16.5" customHeight="1" x14ac:dyDescent="0.3">
      <c r="B102" s="33">
        <v>6</v>
      </c>
      <c r="C102" s="132" t="s">
        <v>160</v>
      </c>
      <c r="D102" s="132"/>
      <c r="E102" s="132"/>
      <c r="F102" s="64">
        <f>MOD_6_CUSTOS_IND_LUCRO_TRIB</f>
        <v>897.66185259883059</v>
      </c>
    </row>
    <row r="103" spans="2:6" ht="16.5" customHeight="1" x14ac:dyDescent="0.3">
      <c r="B103" s="133" t="s">
        <v>268</v>
      </c>
      <c r="C103" s="133"/>
      <c r="D103" s="133"/>
      <c r="E103" s="133"/>
      <c r="F103" s="98">
        <f>SUM(F97:F102)</f>
        <v>5193.676829449375</v>
      </c>
    </row>
    <row r="104" spans="2:6" ht="16.5" customHeight="1" x14ac:dyDescent="0.3">
      <c r="B104" s="133" t="s">
        <v>269</v>
      </c>
      <c r="C104" s="133"/>
      <c r="D104" s="133"/>
      <c r="E104" s="133"/>
      <c r="F104" s="98">
        <f>VALOR_TOTAL_EMPREGADO*EMPREG_POR_POSTO</f>
        <v>5193.676829449375</v>
      </c>
    </row>
    <row r="105" spans="2:6" ht="16.5" customHeight="1" x14ac:dyDescent="0.3">
      <c r="B105" s="133" t="s">
        <v>270</v>
      </c>
      <c r="C105" s="133"/>
      <c r="D105" s="133"/>
      <c r="E105" s="133"/>
      <c r="F105" s="98">
        <f>(VALOR_TOTAL_EMPREGADO*EMPREG_POR_POSTO*'INSERÇÃO-DE-DADOS'!F20)+0.01</f>
        <v>15581.040488348126</v>
      </c>
    </row>
    <row r="107" spans="2:6" x14ac:dyDescent="0.3">
      <c r="B107" s="4" t="s">
        <v>271</v>
      </c>
    </row>
  </sheetData>
  <mergeCells count="93">
    <mergeCell ref="C102:E102"/>
    <mergeCell ref="B103:E103"/>
    <mergeCell ref="B104:E104"/>
    <mergeCell ref="B105:E105"/>
    <mergeCell ref="C96:E96"/>
    <mergeCell ref="C97:E97"/>
    <mergeCell ref="C98:E98"/>
    <mergeCell ref="C99:E99"/>
    <mergeCell ref="C100:E100"/>
    <mergeCell ref="C101:E101"/>
    <mergeCell ref="B94:E94"/>
    <mergeCell ref="C82:E82"/>
    <mergeCell ref="C83:E83"/>
    <mergeCell ref="B84:E84"/>
    <mergeCell ref="B86:F86"/>
    <mergeCell ref="C87:D87"/>
    <mergeCell ref="C88:D88"/>
    <mergeCell ref="C89:D89"/>
    <mergeCell ref="C90:D90"/>
    <mergeCell ref="C91:D91"/>
    <mergeCell ref="C92:D92"/>
    <mergeCell ref="C93:D93"/>
    <mergeCell ref="C81:E81"/>
    <mergeCell ref="C67:D67"/>
    <mergeCell ref="C68:D68"/>
    <mergeCell ref="C69:D69"/>
    <mergeCell ref="C70:D70"/>
    <mergeCell ref="C71:D71"/>
    <mergeCell ref="B72:E72"/>
    <mergeCell ref="C74:E74"/>
    <mergeCell ref="C75:E75"/>
    <mergeCell ref="B76:E76"/>
    <mergeCell ref="C79:E79"/>
    <mergeCell ref="C80:E80"/>
    <mergeCell ref="C66:D66"/>
    <mergeCell ref="C51:E51"/>
    <mergeCell ref="C52:E52"/>
    <mergeCell ref="C53:E53"/>
    <mergeCell ref="C54:E54"/>
    <mergeCell ref="B55:E55"/>
    <mergeCell ref="C57:D57"/>
    <mergeCell ref="C58:D58"/>
    <mergeCell ref="C59:D59"/>
    <mergeCell ref="C60:D60"/>
    <mergeCell ref="B61:E61"/>
    <mergeCell ref="C65:D65"/>
    <mergeCell ref="C50:E50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B47:E47"/>
    <mergeCell ref="C49:E49"/>
    <mergeCell ref="B37:F37"/>
    <mergeCell ref="C24:E24"/>
    <mergeCell ref="C25:E25"/>
    <mergeCell ref="C26:E26"/>
    <mergeCell ref="C27:E27"/>
    <mergeCell ref="C28:E28"/>
    <mergeCell ref="C29:E29"/>
    <mergeCell ref="B30:E30"/>
    <mergeCell ref="C33:D33"/>
    <mergeCell ref="C34:D34"/>
    <mergeCell ref="C35:D35"/>
    <mergeCell ref="B36:E36"/>
    <mergeCell ref="C23:E23"/>
    <mergeCell ref="C11:E11"/>
    <mergeCell ref="C12:E12"/>
    <mergeCell ref="D15:F15"/>
    <mergeCell ref="D16:F16"/>
    <mergeCell ref="D14:F14"/>
    <mergeCell ref="C17:E17"/>
    <mergeCell ref="B18:F18"/>
    <mergeCell ref="B19:E19"/>
    <mergeCell ref="C21:E21"/>
    <mergeCell ref="C22:E22"/>
    <mergeCell ref="C10:E10"/>
    <mergeCell ref="B1:F1"/>
    <mergeCell ref="B2:D2"/>
    <mergeCell ref="B3:F3"/>
    <mergeCell ref="B4:F4"/>
    <mergeCell ref="B5:C5"/>
    <mergeCell ref="D5:F5"/>
    <mergeCell ref="B6:C6"/>
    <mergeCell ref="D6:E6"/>
    <mergeCell ref="B7:F7"/>
    <mergeCell ref="C8:E8"/>
    <mergeCell ref="D9:F9"/>
  </mergeCells>
  <pageMargins left="0.511811024" right="0.511811024" top="0.78740157499999996" bottom="0.78740157499999996" header="0.31496062000000002" footer="0.31496062000000002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F7BAD-715C-4E53-A2FA-1BA600A37B1E}">
  <sheetPr>
    <pageSetUpPr fitToPage="1"/>
  </sheetPr>
  <dimension ref="A1:AMJ107"/>
  <sheetViews>
    <sheetView topLeftCell="A87" workbookViewId="0">
      <selection activeCell="F105" sqref="F105"/>
    </sheetView>
  </sheetViews>
  <sheetFormatPr defaultColWidth="9.140625" defaultRowHeight="16.5" x14ac:dyDescent="0.3"/>
  <cols>
    <col min="1" max="1" width="2.7109375" style="4" customWidth="1"/>
    <col min="2" max="2" width="8.85546875" style="4" customWidth="1"/>
    <col min="3" max="3" width="55.42578125" style="4" customWidth="1"/>
    <col min="4" max="4" width="10.140625" style="4" customWidth="1"/>
    <col min="5" max="5" width="13.5703125" style="4" customWidth="1"/>
    <col min="6" max="6" width="15.42578125" style="4" customWidth="1"/>
    <col min="7" max="1024" width="9.140625" style="4"/>
  </cols>
  <sheetData>
    <row r="1" spans="2:6" ht="20.25" x14ac:dyDescent="0.35">
      <c r="B1" s="150" t="str">
        <f>RAMO</f>
        <v>RAMO: ESCOLA SUPERIOR DO MINISTÉRIO PÚBLICO DA UNIÃO</v>
      </c>
      <c r="C1" s="150"/>
      <c r="D1" s="150"/>
      <c r="E1" s="150"/>
      <c r="F1" s="150"/>
    </row>
    <row r="2" spans="2:6" ht="20.25" x14ac:dyDescent="0.35">
      <c r="B2" s="151" t="str">
        <f>UG</f>
        <v>UNIDADE GESTORA (SIGLA): ESMPU</v>
      </c>
      <c r="C2" s="151"/>
      <c r="D2" s="151"/>
      <c r="E2" s="71" t="s">
        <v>2</v>
      </c>
      <c r="F2" s="72">
        <f>DATA_DO_ORCAMENTO_ESTIMATIVO</f>
        <v>45702</v>
      </c>
    </row>
    <row r="3" spans="2:6" s="6" customFormat="1" ht="25.5" x14ac:dyDescent="0.5">
      <c r="B3" s="124" t="s">
        <v>243</v>
      </c>
      <c r="C3" s="124"/>
      <c r="D3" s="124"/>
      <c r="E3" s="124"/>
      <c r="F3" s="124"/>
    </row>
    <row r="4" spans="2:6" s="6" customFormat="1" ht="15.95" customHeight="1" x14ac:dyDescent="0.3">
      <c r="B4" s="125" t="s">
        <v>4</v>
      </c>
      <c r="C4" s="125"/>
      <c r="D4" s="125"/>
      <c r="E4" s="125"/>
      <c r="F4" s="125"/>
    </row>
    <row r="5" spans="2:6" s="6" customFormat="1" ht="15.95" customHeight="1" x14ac:dyDescent="0.3">
      <c r="B5" s="126" t="s">
        <v>244</v>
      </c>
      <c r="C5" s="126"/>
      <c r="D5" s="152" t="str">
        <f>NUMERO_PROCESSO</f>
        <v>0.01.000.1.003277/2024-10</v>
      </c>
      <c r="E5" s="152"/>
      <c r="F5" s="152"/>
    </row>
    <row r="6" spans="2:6" s="6" customFormat="1" ht="15.75" customHeight="1" x14ac:dyDescent="0.3">
      <c r="B6" s="128" t="s">
        <v>245</v>
      </c>
      <c r="C6" s="128"/>
      <c r="D6" s="153" t="str">
        <f>MODALIDADE_DE_LICITACAO</f>
        <v>Pregão nº</v>
      </c>
      <c r="E6" s="153"/>
      <c r="F6" s="73" t="str">
        <f>NUMERO_PREGAO</f>
        <v>XX/20XX</v>
      </c>
    </row>
    <row r="7" spans="2:6" s="6" customFormat="1" ht="15.75" customHeight="1" x14ac:dyDescent="0.3">
      <c r="B7" s="154" t="s">
        <v>246</v>
      </c>
      <c r="C7" s="154"/>
      <c r="D7" s="154"/>
      <c r="E7" s="154"/>
      <c r="F7" s="154"/>
    </row>
    <row r="8" spans="2:6" s="6" customFormat="1" ht="18" customHeight="1" x14ac:dyDescent="0.3">
      <c r="B8" s="10" t="s">
        <v>14</v>
      </c>
      <c r="C8" s="126" t="s">
        <v>15</v>
      </c>
      <c r="D8" s="126"/>
      <c r="E8" s="126"/>
      <c r="F8" s="74" t="str">
        <f>DATA_APRESENTACAO_PROPOSTA</f>
        <v>XX/XX/20XX</v>
      </c>
    </row>
    <row r="9" spans="2:6" s="6" customFormat="1" ht="15.95" customHeight="1" x14ac:dyDescent="0.15">
      <c r="B9" s="12" t="s">
        <v>16</v>
      </c>
      <c r="C9" s="13" t="s">
        <v>17</v>
      </c>
      <c r="D9" s="145" t="str">
        <f>IF(LOCAL_DE_EXECUCAO="","",LOCAL_DE_EXECUCAO)</f>
        <v>SEDE DA ESMPU</v>
      </c>
      <c r="E9" s="145"/>
      <c r="F9" s="145"/>
    </row>
    <row r="10" spans="2:6" s="6" customFormat="1" ht="18.75" customHeight="1" x14ac:dyDescent="0.3">
      <c r="B10" s="10" t="s">
        <v>19</v>
      </c>
      <c r="C10" s="126" t="s">
        <v>23</v>
      </c>
      <c r="D10" s="126"/>
      <c r="E10" s="126"/>
      <c r="F10" s="75" t="str">
        <f>ACORDO_COLETIVO</f>
        <v>01/2025</v>
      </c>
    </row>
    <row r="11" spans="2:6" s="6" customFormat="1" ht="15.95" customHeight="1" x14ac:dyDescent="0.3">
      <c r="B11" s="12" t="s">
        <v>22</v>
      </c>
      <c r="C11" s="145" t="s">
        <v>26</v>
      </c>
      <c r="D11" s="145"/>
      <c r="E11" s="145"/>
      <c r="F11" s="40">
        <f>NUMERO_MESES_EXEC_CONTRATUAL</f>
        <v>12</v>
      </c>
    </row>
    <row r="12" spans="2:6" s="6" customFormat="1" x14ac:dyDescent="0.15">
      <c r="B12" s="12" t="s">
        <v>25</v>
      </c>
      <c r="C12" s="155" t="s">
        <v>247</v>
      </c>
      <c r="D12" s="155"/>
      <c r="E12" s="155"/>
      <c r="F12" s="103">
        <f>'INSERÇÃO-DE-DADOS'!F21</f>
        <v>2</v>
      </c>
    </row>
    <row r="13" spans="2:6" s="76" customFormat="1" ht="15" customHeight="1" x14ac:dyDescent="0.2">
      <c r="B13" s="77" t="s">
        <v>68</v>
      </c>
      <c r="C13" s="78"/>
      <c r="D13" s="78"/>
      <c r="E13" s="78"/>
      <c r="F13" s="78"/>
    </row>
    <row r="14" spans="2:6" s="6" customFormat="1" x14ac:dyDescent="0.3">
      <c r="B14" s="10">
        <v>1</v>
      </c>
      <c r="C14" s="24" t="s">
        <v>248</v>
      </c>
      <c r="D14" s="164" t="str">
        <f>'INSERÇÃO-DE-DADOS'!C21</f>
        <v>Copeiro</v>
      </c>
      <c r="E14" s="156"/>
      <c r="F14" s="156"/>
    </row>
    <row r="15" spans="2:6" s="6" customFormat="1" x14ac:dyDescent="0.3">
      <c r="B15" s="10">
        <v>2</v>
      </c>
      <c r="C15" s="104" t="s">
        <v>249</v>
      </c>
      <c r="D15" s="156" t="str">
        <f>'INSERÇÃO-DE-DADOS'!D31</f>
        <v>5134-25</v>
      </c>
      <c r="E15" s="156"/>
      <c r="F15" s="156"/>
    </row>
    <row r="16" spans="2:6" s="6" customFormat="1" ht="15" customHeight="1" x14ac:dyDescent="0.3">
      <c r="B16" s="10">
        <v>3</v>
      </c>
      <c r="C16" s="24" t="s">
        <v>64</v>
      </c>
      <c r="D16" s="152" t="str">
        <f>IF(CATEGORIA_PROFISSIONAL="","",CATEGORIA_PROFISSIONAL)</f>
        <v>Apoio Administrativo</v>
      </c>
      <c r="E16" s="152"/>
      <c r="F16" s="152"/>
    </row>
    <row r="17" spans="2:6" s="6" customFormat="1" ht="15" customHeight="1" x14ac:dyDescent="0.3">
      <c r="B17" s="10">
        <v>4</v>
      </c>
      <c r="C17" s="128" t="s">
        <v>66</v>
      </c>
      <c r="D17" s="128"/>
      <c r="E17" s="128"/>
      <c r="F17" s="79">
        <f>DATA_BASE_CATEGORIA</f>
        <v>45658</v>
      </c>
    </row>
    <row r="18" spans="2:6" s="80" customFormat="1" ht="20.25" customHeight="1" x14ac:dyDescent="0.3">
      <c r="B18" s="157" t="s">
        <v>250</v>
      </c>
      <c r="C18" s="157"/>
      <c r="D18" s="157"/>
      <c r="E18" s="157"/>
      <c r="F18" s="157"/>
    </row>
    <row r="19" spans="2:6" x14ac:dyDescent="0.3">
      <c r="B19" s="138" t="s">
        <v>251</v>
      </c>
      <c r="C19" s="138"/>
      <c r="D19" s="138"/>
      <c r="E19" s="138"/>
      <c r="F19" s="81">
        <f>IF(EMPREG_POR_POSTO="","",EMPREG_POR_POSTO)</f>
        <v>1</v>
      </c>
    </row>
    <row r="20" spans="2:6" x14ac:dyDescent="0.3">
      <c r="B20" s="31" t="s">
        <v>69</v>
      </c>
      <c r="E20" s="32"/>
      <c r="F20" s="32"/>
    </row>
    <row r="21" spans="2:6" ht="16.5" customHeight="1" x14ac:dyDescent="0.3">
      <c r="B21" s="12">
        <v>1</v>
      </c>
      <c r="C21" s="133" t="s">
        <v>70</v>
      </c>
      <c r="D21" s="133"/>
      <c r="E21" s="133"/>
      <c r="F21" s="33" t="s">
        <v>122</v>
      </c>
    </row>
    <row r="22" spans="2:6" ht="16.5" customHeight="1" x14ac:dyDescent="0.3">
      <c r="B22" s="12" t="s">
        <v>14</v>
      </c>
      <c r="C22" s="134" t="s">
        <v>252</v>
      </c>
      <c r="D22" s="134"/>
      <c r="E22" s="134"/>
      <c r="F22" s="82">
        <f>'INSERÇÃO-DE-DADOS'!F45</f>
        <v>1743.69</v>
      </c>
    </row>
    <row r="23" spans="2:6" ht="16.5" customHeight="1" x14ac:dyDescent="0.3">
      <c r="B23" s="12" t="s">
        <v>16</v>
      </c>
      <c r="C23" s="132" t="s">
        <v>253</v>
      </c>
      <c r="D23" s="132"/>
      <c r="E23" s="132"/>
      <c r="F23" s="83">
        <f>PERC_ADIC_PERIC%*SALARIO_BASE</f>
        <v>0</v>
      </c>
    </row>
    <row r="24" spans="2:6" ht="15.75" customHeight="1" x14ac:dyDescent="0.3">
      <c r="B24" s="12" t="s">
        <v>19</v>
      </c>
      <c r="C24" s="159" t="s">
        <v>254</v>
      </c>
      <c r="D24" s="159"/>
      <c r="E24" s="159"/>
      <c r="F24" s="82">
        <f>((AL_1_A_SAL_BASE+AL_1_B_ADIC_PERIC)/DIVISOR_DE_HORAS)*DIAS_NA_SEMANA*MEDIA_ANUAL_DIAS_TRABALHO_MES*PERC_ADIC_NOT%</f>
        <v>0</v>
      </c>
    </row>
    <row r="25" spans="2:6" ht="15.75" customHeight="1" x14ac:dyDescent="0.3">
      <c r="B25" s="12" t="s">
        <v>22</v>
      </c>
      <c r="C25" s="132" t="s">
        <v>255</v>
      </c>
      <c r="D25" s="132"/>
      <c r="E25" s="132"/>
      <c r="F25" s="83">
        <f>((AL_1_A_SAL_BASE+AL_1_B_ADIC_PERIC)/DIVISOR_DE_HORAS)*((HORA_NORMAL-HORA_NOTURNA)/HORA_NOTURNA)*DIAS_NA_SEMANA*MEDIA_ANUAL_DIAS_TRABALHO_MES*PERC_ADIC_NOT%</f>
        <v>0</v>
      </c>
    </row>
    <row r="26" spans="2:6" ht="15.75" customHeight="1" x14ac:dyDescent="0.3">
      <c r="B26" s="12" t="s">
        <v>25</v>
      </c>
      <c r="C26" s="143" t="s">
        <v>256</v>
      </c>
      <c r="D26" s="143"/>
      <c r="E26" s="143"/>
      <c r="F26" s="82">
        <f>PERC_ADIC_INS%*SAL_MINIMO</f>
        <v>0</v>
      </c>
    </row>
    <row r="27" spans="2:6" x14ac:dyDescent="0.3">
      <c r="B27" s="12" t="s">
        <v>90</v>
      </c>
      <c r="C27" s="135" t="str">
        <f>OUTROS_REMUNERACAO_1_DESCRICAO</f>
        <v>Outras Remunerações 1 (Especificar)</v>
      </c>
      <c r="D27" s="135"/>
      <c r="E27" s="135"/>
      <c r="F27" s="83">
        <f>OUTROS_REMUNERACAO_1</f>
        <v>0</v>
      </c>
    </row>
    <row r="28" spans="2:6" x14ac:dyDescent="0.3">
      <c r="B28" s="12" t="s">
        <v>92</v>
      </c>
      <c r="C28" s="134" t="str">
        <f>OUTROS_REMUNERACAO_2_DESCRICAO</f>
        <v>Outras Remunerações 2 (Especificar)</v>
      </c>
      <c r="D28" s="134"/>
      <c r="E28" s="134"/>
      <c r="F28" s="82">
        <f>OUTROS_REMUNERACAO_2</f>
        <v>0</v>
      </c>
    </row>
    <row r="29" spans="2:6" x14ac:dyDescent="0.3">
      <c r="B29" s="12" t="s">
        <v>200</v>
      </c>
      <c r="C29" s="135" t="str">
        <f>OUTROS_REMUNERACAO_3_DESCRICAO</f>
        <v>Outras Remunerações 3 (Especificar)</v>
      </c>
      <c r="D29" s="135"/>
      <c r="E29" s="135"/>
      <c r="F29" s="83">
        <f>OUTROS_REMUNERACAO_3</f>
        <v>0</v>
      </c>
    </row>
    <row r="30" spans="2:6" ht="16.5" customHeight="1" x14ac:dyDescent="0.3">
      <c r="B30" s="133" t="s">
        <v>225</v>
      </c>
      <c r="C30" s="133"/>
      <c r="D30" s="133"/>
      <c r="E30" s="133"/>
      <c r="F30" s="84">
        <f>SUM(F22:F29)</f>
        <v>1743.69</v>
      </c>
    </row>
    <row r="31" spans="2:6" x14ac:dyDescent="0.3">
      <c r="B31" s="31" t="s">
        <v>94</v>
      </c>
      <c r="E31" s="37"/>
      <c r="F31" s="37"/>
    </row>
    <row r="32" spans="2:6" x14ac:dyDescent="0.3">
      <c r="B32" s="31" t="s">
        <v>206</v>
      </c>
      <c r="C32" s="43"/>
      <c r="D32" s="44"/>
      <c r="E32" s="45"/>
      <c r="F32" s="45"/>
    </row>
    <row r="33" spans="2:6" x14ac:dyDescent="0.3">
      <c r="B33" s="12" t="s">
        <v>207</v>
      </c>
      <c r="C33" s="138" t="s">
        <v>208</v>
      </c>
      <c r="D33" s="138"/>
      <c r="E33" s="33" t="s">
        <v>112</v>
      </c>
      <c r="F33" s="33" t="s">
        <v>122</v>
      </c>
    </row>
    <row r="34" spans="2:6" ht="16.5" customHeight="1" x14ac:dyDescent="0.3">
      <c r="B34" s="12" t="s">
        <v>14</v>
      </c>
      <c r="C34" s="143" t="s">
        <v>210</v>
      </c>
      <c r="D34" s="143"/>
      <c r="E34" s="66">
        <f>PERC_DEC_TERC</f>
        <v>8.3333333333333321</v>
      </c>
      <c r="F34" s="63">
        <f>PERC_DEC_TERC%*MOD_1_REMUNERACAO</f>
        <v>145.30749999999998</v>
      </c>
    </row>
    <row r="35" spans="2:6" ht="16.5" customHeight="1" x14ac:dyDescent="0.3">
      <c r="B35" s="33" t="s">
        <v>16</v>
      </c>
      <c r="C35" s="132" t="s">
        <v>212</v>
      </c>
      <c r="D35" s="132"/>
      <c r="E35" s="67">
        <f>PERC_ADIC_FERIAS</f>
        <v>2.7777777777777777</v>
      </c>
      <c r="F35" s="64">
        <f>PERC_ADIC_FERIAS%*MOD_1_REMUNERACAO</f>
        <v>48.435833333333335</v>
      </c>
    </row>
    <row r="36" spans="2:6" s="36" customFormat="1" x14ac:dyDescent="0.3">
      <c r="B36" s="138" t="s">
        <v>225</v>
      </c>
      <c r="C36" s="138"/>
      <c r="D36" s="138"/>
      <c r="E36" s="138"/>
      <c r="F36" s="85">
        <f>SUM(F34:F35)</f>
        <v>193.74333333333331</v>
      </c>
    </row>
    <row r="37" spans="2:6" s="36" customFormat="1" ht="31.5" customHeight="1" x14ac:dyDescent="0.3">
      <c r="B37" s="158" t="s">
        <v>214</v>
      </c>
      <c r="C37" s="158"/>
      <c r="D37" s="158"/>
      <c r="E37" s="158"/>
      <c r="F37" s="158"/>
    </row>
    <row r="38" spans="2:6" s="36" customFormat="1" ht="34.5" customHeight="1" x14ac:dyDescent="0.3">
      <c r="B38" s="12" t="s">
        <v>215</v>
      </c>
      <c r="C38" s="147" t="s">
        <v>216</v>
      </c>
      <c r="D38" s="147"/>
      <c r="E38" s="33" t="s">
        <v>112</v>
      </c>
      <c r="F38" s="33" t="s">
        <v>122</v>
      </c>
    </row>
    <row r="39" spans="2:6" ht="16.5" customHeight="1" x14ac:dyDescent="0.3">
      <c r="B39" s="12" t="s">
        <v>14</v>
      </c>
      <c r="C39" s="143" t="s">
        <v>217</v>
      </c>
      <c r="D39" s="143"/>
      <c r="E39" s="66">
        <f>PERC_INSS</f>
        <v>20</v>
      </c>
      <c r="F39" s="63">
        <f>PERC_INSS%*(MOD_1_REMUNERACAO+SUBMOD_2_1_DEC_TERC_ADIC_FERIAS)</f>
        <v>387.48666666666668</v>
      </c>
    </row>
    <row r="40" spans="2:6" s="6" customFormat="1" ht="16.5" customHeight="1" x14ac:dyDescent="0.15">
      <c r="B40" s="33" t="s">
        <v>16</v>
      </c>
      <c r="C40" s="132" t="s">
        <v>218</v>
      </c>
      <c r="D40" s="132"/>
      <c r="E40" s="68">
        <f>PERC_SAL_EDUCACAO</f>
        <v>2.5</v>
      </c>
      <c r="F40" s="64">
        <f>PERC_SAL_EDUCACAO%*(MOD_1_REMUNERACAO+SUBMOD_2_1_DEC_TERC_ADIC_FERIAS)</f>
        <v>48.435833333333335</v>
      </c>
    </row>
    <row r="41" spans="2:6" s="6" customFormat="1" ht="16.5" customHeight="1" x14ac:dyDescent="0.15">
      <c r="B41" s="33" t="s">
        <v>19</v>
      </c>
      <c r="C41" s="143" t="s">
        <v>219</v>
      </c>
      <c r="D41" s="143"/>
      <c r="E41" s="66">
        <f>PERC_RAT</f>
        <v>3</v>
      </c>
      <c r="F41" s="63">
        <f>PERC_RAT%*(MOD_1_REMUNERACAO+SUBMOD_2_1_DEC_TERC_ADIC_FERIAS)</f>
        <v>58.122999999999998</v>
      </c>
    </row>
    <row r="42" spans="2:6" s="6" customFormat="1" ht="16.5" customHeight="1" x14ac:dyDescent="0.15">
      <c r="B42" s="33" t="s">
        <v>22</v>
      </c>
      <c r="C42" s="132" t="s">
        <v>220</v>
      </c>
      <c r="D42" s="132"/>
      <c r="E42" s="67">
        <f>PERC_SESC</f>
        <v>1.5</v>
      </c>
      <c r="F42" s="64">
        <f>PERC_SESC%*(MOD_1_REMUNERACAO+SUBMOD_2_1_DEC_TERC_ADIC_FERIAS)</f>
        <v>29.061499999999999</v>
      </c>
    </row>
    <row r="43" spans="2:6" s="6" customFormat="1" ht="16.5" customHeight="1" x14ac:dyDescent="0.15">
      <c r="B43" s="33" t="s">
        <v>25</v>
      </c>
      <c r="C43" s="143" t="s">
        <v>221</v>
      </c>
      <c r="D43" s="143"/>
      <c r="E43" s="66">
        <f>PERC_SENAC</f>
        <v>1</v>
      </c>
      <c r="F43" s="63">
        <f>PERC_SENAC%*(MOD_1_REMUNERACAO+SUBMOD_2_1_DEC_TERC_ADIC_FERIAS)</f>
        <v>19.374333333333336</v>
      </c>
    </row>
    <row r="44" spans="2:6" s="6" customFormat="1" ht="16.5" customHeight="1" x14ac:dyDescent="0.15">
      <c r="B44" s="33" t="s">
        <v>90</v>
      </c>
      <c r="C44" s="132" t="s">
        <v>222</v>
      </c>
      <c r="D44" s="132"/>
      <c r="E44" s="68">
        <f>PERC_SEBRAE</f>
        <v>0.6</v>
      </c>
      <c r="F44" s="64">
        <f>PERC_SEBRAE%*(MOD_1_REMUNERACAO+SUBMOD_2_1_DEC_TERC_ADIC_FERIAS)</f>
        <v>11.624600000000001</v>
      </c>
    </row>
    <row r="45" spans="2:6" s="6" customFormat="1" ht="16.5" customHeight="1" x14ac:dyDescent="0.15">
      <c r="B45" s="33" t="s">
        <v>92</v>
      </c>
      <c r="C45" s="143" t="s">
        <v>223</v>
      </c>
      <c r="D45" s="143"/>
      <c r="E45" s="66">
        <f>PERC_INCRA</f>
        <v>0.2</v>
      </c>
      <c r="F45" s="63">
        <f>PERC_INCRA%*(MOD_1_REMUNERACAO+SUBMOD_2_1_DEC_TERC_ADIC_FERIAS)</f>
        <v>3.8748666666666667</v>
      </c>
    </row>
    <row r="46" spans="2:6" ht="16.5" customHeight="1" x14ac:dyDescent="0.3">
      <c r="B46" s="33" t="s">
        <v>200</v>
      </c>
      <c r="C46" s="132" t="s">
        <v>224</v>
      </c>
      <c r="D46" s="132"/>
      <c r="E46" s="68">
        <f>PERC_FGTS</f>
        <v>8</v>
      </c>
      <c r="F46" s="64">
        <f>PERC_FGTS%*(MOD_1_REMUNERACAO+SUBMOD_2_1_DEC_TERC_ADIC_FERIAS)</f>
        <v>154.99466666666669</v>
      </c>
    </row>
    <row r="47" spans="2:6" x14ac:dyDescent="0.3">
      <c r="B47" s="138" t="s">
        <v>225</v>
      </c>
      <c r="C47" s="138"/>
      <c r="D47" s="138"/>
      <c r="E47" s="138"/>
      <c r="F47" s="86">
        <f>SUM(F39:F46)</f>
        <v>712.97546666666665</v>
      </c>
    </row>
    <row r="48" spans="2:6" ht="15.75" customHeight="1" x14ac:dyDescent="0.3">
      <c r="B48" s="31" t="s">
        <v>95</v>
      </c>
      <c r="C48" s="6"/>
      <c r="D48" s="6"/>
      <c r="E48" s="6"/>
      <c r="F48" s="6"/>
    </row>
    <row r="49" spans="2:6" ht="15.75" customHeight="1" x14ac:dyDescent="0.3">
      <c r="B49" s="12" t="s">
        <v>96</v>
      </c>
      <c r="C49" s="133" t="s">
        <v>97</v>
      </c>
      <c r="D49" s="133"/>
      <c r="E49" s="133"/>
      <c r="F49" s="33" t="s">
        <v>122</v>
      </c>
    </row>
    <row r="50" spans="2:6" ht="16.5" customHeight="1" x14ac:dyDescent="0.3">
      <c r="B50" s="10" t="s">
        <v>14</v>
      </c>
      <c r="C50" s="143" t="s">
        <v>100</v>
      </c>
      <c r="D50" s="143"/>
      <c r="E50" s="143"/>
      <c r="F50" s="63">
        <f>IF(((TRANSPORTE_POR_DIA*DIAS_TRABALHADOS_NO_MES)-(PERC_DESC_TRANSP_REMUNERACAO%*(AL_1_A_SAL_BASE)))&gt;0,((TRANSPORTE_POR_DIA*DIAS_TRABALHADOS_NO_MES)-(PERC_DESC_TRANSP_REMUNERACAO%*(AL_1_A_SAL_BASE))),0)</f>
        <v>137.37860000000001</v>
      </c>
    </row>
    <row r="51" spans="2:6" s="36" customFormat="1" ht="16.5" customHeight="1" x14ac:dyDescent="0.3">
      <c r="B51" s="10" t="s">
        <v>16</v>
      </c>
      <c r="C51" s="132" t="s">
        <v>102</v>
      </c>
      <c r="D51" s="132"/>
      <c r="E51" s="132"/>
      <c r="F51" s="64">
        <f>ALIMENTACAO_POR_DIA*DIAS_TRABALHADOS_NO_MES</f>
        <v>974.59999999999991</v>
      </c>
    </row>
    <row r="52" spans="2:6" s="36" customFormat="1" x14ac:dyDescent="0.3">
      <c r="B52" s="10" t="s">
        <v>19</v>
      </c>
      <c r="C52" s="134" t="str">
        <f>OUTROS_BENEFICIOS_1_DESCRICAO</f>
        <v>Assistência Funeral - Seguro de Vida Coletivo</v>
      </c>
      <c r="D52" s="134"/>
      <c r="E52" s="134"/>
      <c r="F52" s="63">
        <f>OUTROS_BENEFICIOS_1</f>
        <v>3.61</v>
      </c>
    </row>
    <row r="53" spans="2:6" s="36" customFormat="1" x14ac:dyDescent="0.3">
      <c r="B53" s="10" t="s">
        <v>22</v>
      </c>
      <c r="C53" s="135" t="str">
        <f>OUTROS_BENEFICIOS_2_DESCRICAO</f>
        <v>Outros Benefícios 2 (Especificar)</v>
      </c>
      <c r="D53" s="135"/>
      <c r="E53" s="135"/>
      <c r="F53" s="64">
        <f>OUTROS_BENEFICIOS_2</f>
        <v>0</v>
      </c>
    </row>
    <row r="54" spans="2:6" s="36" customFormat="1" x14ac:dyDescent="0.3">
      <c r="B54" s="10" t="s">
        <v>25</v>
      </c>
      <c r="C54" s="134" t="str">
        <f>OUTROS_BENEFICIOS_3_DESCRICAO</f>
        <v>Outros Benefícios 3 (Especificar)</v>
      </c>
      <c r="D54" s="134"/>
      <c r="E54" s="134"/>
      <c r="F54" s="63">
        <f>OUTROS_BENEFICIOS_3</f>
        <v>0</v>
      </c>
    </row>
    <row r="55" spans="2:6" s="36" customFormat="1" ht="15" customHeight="1" x14ac:dyDescent="0.3">
      <c r="B55" s="133" t="s">
        <v>225</v>
      </c>
      <c r="C55" s="133"/>
      <c r="D55" s="133"/>
      <c r="E55" s="133"/>
      <c r="F55" s="84">
        <f>SUM(F50:F54)</f>
        <v>1115.5885999999998</v>
      </c>
    </row>
    <row r="56" spans="2:6" s="36" customFormat="1" x14ac:dyDescent="0.3">
      <c r="B56" s="31" t="s">
        <v>185</v>
      </c>
      <c r="C56" s="43"/>
      <c r="D56" s="44"/>
      <c r="E56" s="45"/>
      <c r="F56" s="45"/>
    </row>
    <row r="57" spans="2:6" s="36" customFormat="1" ht="15" customHeight="1" x14ac:dyDescent="0.3">
      <c r="B57" s="12">
        <v>3</v>
      </c>
      <c r="C57" s="138" t="s">
        <v>186</v>
      </c>
      <c r="D57" s="138"/>
      <c r="E57" s="33" t="s">
        <v>112</v>
      </c>
      <c r="F57" s="33" t="s">
        <v>122</v>
      </c>
    </row>
    <row r="58" spans="2:6" s="36" customFormat="1" x14ac:dyDescent="0.3">
      <c r="B58" s="12" t="s">
        <v>14</v>
      </c>
      <c r="C58" s="148" t="s">
        <v>226</v>
      </c>
      <c r="D58" s="148"/>
      <c r="E58" s="66">
        <f>PERC_AVISO_PREVIO_IND</f>
        <v>0.29105124999999998</v>
      </c>
      <c r="F58" s="63">
        <f>PERC_AVISO_PREVIO_IND%*(MOD_1_REMUNERACAO+SUBMOD_2_1_DEC_TERC_ADIC_FERIAS+AL_2_2_FGTS+SUBMOD_2_3_BENEFICIOS)</f>
        <v>9.3369724145074997</v>
      </c>
    </row>
    <row r="59" spans="2:6" s="36" customFormat="1" x14ac:dyDescent="0.3">
      <c r="B59" s="33" t="s">
        <v>16</v>
      </c>
      <c r="C59" s="149" t="s">
        <v>228</v>
      </c>
      <c r="D59" s="149"/>
      <c r="E59" s="68">
        <f>PERC_AVISO_PREVIO_TRAB</f>
        <v>1.1557269305555555</v>
      </c>
      <c r="F59" s="64">
        <f>PERC_AVISO_PREVIO_TRAB%*(MOD_1_REMUNERACAO+SUBMOD_2_1_DEC_TERC_ADIC_FERIAS+SUBMOD_2_2_GPS_FGTS+SUBMOD_2_3_BENEFICIOS)</f>
        <v>43.524646155822026</v>
      </c>
    </row>
    <row r="60" spans="2:6" s="6" customFormat="1" x14ac:dyDescent="0.15">
      <c r="B60" s="33" t="s">
        <v>19</v>
      </c>
      <c r="C60" s="148" t="s">
        <v>230</v>
      </c>
      <c r="D60" s="148"/>
      <c r="E60" s="66">
        <f>PERC_MULTA_FGTS_AV_PREV_TRAB</f>
        <v>0.04</v>
      </c>
      <c r="F60" s="63">
        <f>PERC_MULTA_FGTS_AV_PREV_TRAB%*(MOD_1_REMUNERACAO+SUBMOD_2_1_DEC_TERC_ADIC_FERIAS)</f>
        <v>0.7749733333333334</v>
      </c>
    </row>
    <row r="61" spans="2:6" s="6" customFormat="1" x14ac:dyDescent="0.3">
      <c r="B61" s="138" t="s">
        <v>225</v>
      </c>
      <c r="C61" s="138"/>
      <c r="D61" s="138"/>
      <c r="E61" s="138"/>
      <c r="F61" s="85">
        <f>SUM(F58:F60)</f>
        <v>53.636591903662861</v>
      </c>
    </row>
    <row r="62" spans="2:6" ht="7.5" customHeight="1" x14ac:dyDescent="0.3">
      <c r="B62" s="87"/>
      <c r="D62" s="23"/>
      <c r="E62" s="32"/>
      <c r="F62" s="32"/>
    </row>
    <row r="63" spans="2:6" s="6" customFormat="1" ht="15.95" customHeight="1" x14ac:dyDescent="0.3">
      <c r="B63" s="31" t="s">
        <v>108</v>
      </c>
      <c r="C63" s="43"/>
      <c r="D63" s="44"/>
      <c r="E63" s="4"/>
      <c r="F63" s="4"/>
    </row>
    <row r="64" spans="2:6" s="6" customFormat="1" ht="15.95" customHeight="1" x14ac:dyDescent="0.3">
      <c r="B64" s="31" t="s">
        <v>109</v>
      </c>
      <c r="C64" s="43"/>
      <c r="D64" s="44"/>
      <c r="E64" s="45"/>
      <c r="F64" s="45"/>
    </row>
    <row r="65" spans="2:6" s="6" customFormat="1" ht="16.5" customHeight="1" x14ac:dyDescent="0.15">
      <c r="B65" s="12" t="s">
        <v>110</v>
      </c>
      <c r="C65" s="133" t="s">
        <v>111</v>
      </c>
      <c r="D65" s="133"/>
      <c r="E65" s="33" t="s">
        <v>112</v>
      </c>
      <c r="F65" s="33" t="s">
        <v>122</v>
      </c>
    </row>
    <row r="66" spans="2:6" s="6" customFormat="1" ht="15.95" customHeight="1" x14ac:dyDescent="0.15">
      <c r="B66" s="33" t="s">
        <v>14</v>
      </c>
      <c r="C66" s="143" t="s">
        <v>232</v>
      </c>
      <c r="D66" s="143"/>
      <c r="E66" s="66">
        <f>PERC_SUBSTITUTO_FERIAS</f>
        <v>8.3333333333333321</v>
      </c>
      <c r="F66" s="63">
        <f>PERC_SUBSTITUTO_FERIAS%*(MOD_1_REMUNERACAO+MOD_2_ENCARGOS_BENEFICIOS+MOD_3_PROVISAO_RESCISAO)</f>
        <v>318.30283265863847</v>
      </c>
    </row>
    <row r="67" spans="2:6" s="6" customFormat="1" ht="15.95" customHeight="1" x14ac:dyDescent="0.15">
      <c r="B67" s="33" t="s">
        <v>16</v>
      </c>
      <c r="C67" s="132" t="s">
        <v>234</v>
      </c>
      <c r="D67" s="132"/>
      <c r="E67" s="68">
        <f>PERC_SUBSTITUTO_AUSENCIAS_LEGAIS</f>
        <v>2.2222222222222223</v>
      </c>
      <c r="F67" s="64">
        <f>PERC_SUBSTITUTO_AUSENCIAS_LEGAIS%*(MOD_1_REMUNERACAO+MOD_2_ENCARGOS_BENEFICIOS+MOD_3_PROVISAO_RESCISAO)</f>
        <v>84.880755375636951</v>
      </c>
    </row>
    <row r="68" spans="2:6" s="6" customFormat="1" ht="15.95" customHeight="1" x14ac:dyDescent="0.15">
      <c r="B68" s="33" t="s">
        <v>19</v>
      </c>
      <c r="C68" s="143" t="s">
        <v>236</v>
      </c>
      <c r="D68" s="143"/>
      <c r="E68" s="66">
        <f>PERC_SUBSTITUTO_LICENCA_PATERNIDADE</f>
        <v>3.5673555555555549E-2</v>
      </c>
      <c r="F68" s="63">
        <f>PERC_SUBSTITUTO_LICENCA_PATERNIDADE%*(MOD_1_REMUNERACAO+MOD_2_ENCARGOS_BENEFICIOS+MOD_3_PROVISAO_RESCISAO)</f>
        <v>1.3625992541206373</v>
      </c>
    </row>
    <row r="69" spans="2:6" s="6" customFormat="1" ht="16.5" customHeight="1" x14ac:dyDescent="0.15">
      <c r="B69" s="33" t="s">
        <v>22</v>
      </c>
      <c r="C69" s="132" t="s">
        <v>238</v>
      </c>
      <c r="D69" s="132"/>
      <c r="E69" s="68">
        <f>PERC_SUBSTITUTO_ACID_TRAB</f>
        <v>1.85302229372558E-2</v>
      </c>
      <c r="F69" s="64">
        <f>PERC_SUBSTITUTO_ACID_TRAB%*(MOD_1_REMUNERACAO+MOD_2_ENCARGOS_BENEFICIOS+MOD_3_PROVISAO_RESCISAO)</f>
        <v>0.70778669408695183</v>
      </c>
    </row>
    <row r="70" spans="2:6" s="6" customFormat="1" ht="16.5" customHeight="1" x14ac:dyDescent="0.15">
      <c r="B70" s="33" t="s">
        <v>25</v>
      </c>
      <c r="C70" s="143" t="s">
        <v>240</v>
      </c>
      <c r="D70" s="143"/>
      <c r="E70" s="66">
        <f>PERC_SUBSTITUTO_AFAST_MATERN</f>
        <v>0.14312918399999999</v>
      </c>
      <c r="F70" s="63">
        <f>PERC_SUBSTITUTO_AFAST_MATERN%*(MOD_1_REMUNERACAO+MOD_2_ENCARGOS_BENEFICIOS+MOD_3_PROVISAO_RESCISAO)</f>
        <v>5.4670109643983382</v>
      </c>
    </row>
    <row r="71" spans="2:6" s="6" customFormat="1" x14ac:dyDescent="0.15">
      <c r="B71" s="33" t="s">
        <v>90</v>
      </c>
      <c r="C71" s="160" t="str">
        <f>OUTRAS_AUSENCIAS_DESCRICAO</f>
        <v>Outras Ausências (Especificar - em %)</v>
      </c>
      <c r="D71" s="160"/>
      <c r="E71" s="88">
        <f>PERC_SUBSTITUTO_OUTRAS_AUSENCIAS</f>
        <v>0</v>
      </c>
      <c r="F71" s="64">
        <f>PERC_SUBSTITUTO_OUTRAS_AUSENCIAS%*(MOD_1_REMUNERACAO+MOD_2_ENCARGOS_BENEFICIOS+MOD_3_PROVISAO_RESCISAO)</f>
        <v>0</v>
      </c>
    </row>
    <row r="72" spans="2:6" s="6" customFormat="1" x14ac:dyDescent="0.3">
      <c r="B72" s="138" t="s">
        <v>225</v>
      </c>
      <c r="C72" s="138"/>
      <c r="D72" s="138"/>
      <c r="E72" s="138"/>
      <c r="F72" s="85">
        <f>SUM(F66:F71)</f>
        <v>410.7209849468814</v>
      </c>
    </row>
    <row r="73" spans="2:6" s="6" customFormat="1" ht="15" customHeight="1" x14ac:dyDescent="0.3">
      <c r="B73" s="31" t="s">
        <v>114</v>
      </c>
      <c r="C73" s="43"/>
      <c r="D73" s="44"/>
      <c r="E73" s="45"/>
      <c r="F73" s="45"/>
    </row>
    <row r="74" spans="2:6" s="6" customFormat="1" x14ac:dyDescent="0.15">
      <c r="B74" s="12" t="s">
        <v>115</v>
      </c>
      <c r="C74" s="138" t="s">
        <v>116</v>
      </c>
      <c r="D74" s="138"/>
      <c r="E74" s="138"/>
      <c r="F74" s="33" t="s">
        <v>122</v>
      </c>
    </row>
    <row r="75" spans="2:6" s="6" customFormat="1" ht="16.5" customHeight="1" x14ac:dyDescent="0.15">
      <c r="B75" s="12" t="s">
        <v>14</v>
      </c>
      <c r="C75" s="143" t="s">
        <v>257</v>
      </c>
      <c r="D75" s="143"/>
      <c r="E75" s="143"/>
      <c r="F75" s="82">
        <f>IF(DIAS_TRABALHADOS_NO_MES=15,((MOD_1_REMUNERACAO+MOD_2_ENCARGOS_BENEFICIOS+MOD_3_PROVISAO_RESCISAO)/DIVISOR_DE_HORAS)*((TEMPO_INTERVALO_REFEICAO/HORA_NORMAL)+PERC_HORA_EXTRA%)*DIAS_TRABALHADOS_NO_MES,0)</f>
        <v>0</v>
      </c>
    </row>
    <row r="76" spans="2:6" s="6" customFormat="1" x14ac:dyDescent="0.3">
      <c r="B76" s="138" t="s">
        <v>225</v>
      </c>
      <c r="C76" s="138"/>
      <c r="D76" s="138"/>
      <c r="E76" s="138"/>
      <c r="F76" s="85">
        <f>SUM(F75)</f>
        <v>0</v>
      </c>
    </row>
    <row r="77" spans="2:6" ht="7.5" customHeight="1" x14ac:dyDescent="0.3">
      <c r="B77" s="87"/>
      <c r="D77" s="23"/>
      <c r="E77" s="32"/>
      <c r="F77" s="32"/>
    </row>
    <row r="78" spans="2:6" x14ac:dyDescent="0.3">
      <c r="B78" s="31" t="s">
        <v>120</v>
      </c>
      <c r="C78" s="43"/>
      <c r="D78" s="43"/>
      <c r="E78" s="45"/>
      <c r="F78" s="45"/>
    </row>
    <row r="79" spans="2:6" ht="15.75" customHeight="1" x14ac:dyDescent="0.3">
      <c r="B79" s="46">
        <v>5</v>
      </c>
      <c r="C79" s="139" t="s">
        <v>121</v>
      </c>
      <c r="D79" s="139"/>
      <c r="E79" s="139"/>
      <c r="F79" s="47" t="s">
        <v>122</v>
      </c>
    </row>
    <row r="80" spans="2:6" ht="16.5" customHeight="1" x14ac:dyDescent="0.3">
      <c r="B80" s="48" t="s">
        <v>14</v>
      </c>
      <c r="C80" s="140" t="s">
        <v>258</v>
      </c>
      <c r="D80" s="140"/>
      <c r="E80" s="140"/>
      <c r="F80" s="89">
        <f>'INSERÇÃO-DE-DADOS'!F81</f>
        <v>108.43</v>
      </c>
    </row>
    <row r="81" spans="2:6" ht="16.5" customHeight="1" x14ac:dyDescent="0.3">
      <c r="B81" s="48" t="s">
        <v>16</v>
      </c>
      <c r="C81" s="141" t="s">
        <v>259</v>
      </c>
      <c r="D81" s="141"/>
      <c r="E81" s="141"/>
      <c r="F81" s="89">
        <f>'INSERÇÃO-DE-DADOS'!F88</f>
        <v>472.94</v>
      </c>
    </row>
    <row r="82" spans="2:6" ht="16.5" customHeight="1" x14ac:dyDescent="0.3">
      <c r="B82" s="48" t="s">
        <v>19</v>
      </c>
      <c r="C82" s="140" t="s">
        <v>260</v>
      </c>
      <c r="D82" s="140"/>
      <c r="E82" s="140"/>
      <c r="F82" s="89">
        <f>EQUIPAMENTOS</f>
        <v>1.22</v>
      </c>
    </row>
    <row r="83" spans="2:6" x14ac:dyDescent="0.3">
      <c r="B83" s="48" t="s">
        <v>22</v>
      </c>
      <c r="C83" s="161" t="str">
        <f>OUTROS_INSUMOS_DESCRICAO</f>
        <v>Outros (Especificar)</v>
      </c>
      <c r="D83" s="161"/>
      <c r="E83" s="161"/>
      <c r="F83" s="90">
        <f>OUTROS_INSUMOS</f>
        <v>0</v>
      </c>
    </row>
    <row r="84" spans="2:6" ht="16.5" customHeight="1" x14ac:dyDescent="0.3">
      <c r="B84" s="139" t="s">
        <v>225</v>
      </c>
      <c r="C84" s="139"/>
      <c r="D84" s="139"/>
      <c r="E84" s="139"/>
      <c r="F84" s="91">
        <f>SUM(F80:F83)</f>
        <v>582.59</v>
      </c>
    </row>
    <row r="85" spans="2:6" ht="7.5" customHeight="1" x14ac:dyDescent="0.3">
      <c r="B85" s="87"/>
      <c r="D85" s="23"/>
      <c r="E85" s="32"/>
      <c r="F85" s="32"/>
    </row>
    <row r="86" spans="2:6" ht="15" customHeight="1" x14ac:dyDescent="0.3">
      <c r="B86" s="142" t="s">
        <v>159</v>
      </c>
      <c r="C86" s="142"/>
      <c r="D86" s="142"/>
      <c r="E86" s="142"/>
      <c r="F86" s="142"/>
    </row>
    <row r="87" spans="2:6" x14ac:dyDescent="0.3">
      <c r="B87" s="12">
        <v>6</v>
      </c>
      <c r="C87" s="138" t="s">
        <v>160</v>
      </c>
      <c r="D87" s="138"/>
      <c r="E87" s="33" t="s">
        <v>112</v>
      </c>
      <c r="F87" s="33" t="s">
        <v>122</v>
      </c>
    </row>
    <row r="88" spans="2:6" ht="16.5" customHeight="1" x14ac:dyDescent="0.3">
      <c r="B88" s="12" t="s">
        <v>14</v>
      </c>
      <c r="C88" s="143" t="s">
        <v>161</v>
      </c>
      <c r="D88" s="143"/>
      <c r="E88" s="92">
        <f>PERC_CUSTOS_INDIRETOS</f>
        <v>4.7300000000000004</v>
      </c>
      <c r="F88" s="63">
        <f>PERC_CUSTOS_INDIRETOS%*(MOD_1_REMUNERACAO+MOD_2_ENCARGOS_BENEFICIOS+MOD_3_PROVISAO_RESCISAO+MOD_4_CUSTO_REPOSICAO+MOD_5_INSUMOS)</f>
        <v>227.65229740503077</v>
      </c>
    </row>
    <row r="89" spans="2:6" ht="15.75" customHeight="1" x14ac:dyDescent="0.3">
      <c r="B89" s="33" t="s">
        <v>16</v>
      </c>
      <c r="C89" s="132" t="s">
        <v>162</v>
      </c>
      <c r="D89" s="132"/>
      <c r="E89" s="93">
        <f>PERC_LUCRO</f>
        <v>5.45</v>
      </c>
      <c r="F89" s="64">
        <f>PERC_LUCRO%*(MOD_1_REMUNERACAO+MOD_2_ENCARGOS_BENEFICIOS+MOD_3_PROVISAO_RESCISAO+MOD_4_CUSTO_REPOSICAO+MOD_5_INSUMOS+AL_6_A_CUSTOS_INDIRETOS)</f>
        <v>274.71255144692884</v>
      </c>
    </row>
    <row r="90" spans="2:6" ht="16.5" customHeight="1" x14ac:dyDescent="0.3">
      <c r="B90" s="33" t="s">
        <v>19</v>
      </c>
      <c r="C90" s="143" t="s">
        <v>261</v>
      </c>
      <c r="D90" s="143"/>
      <c r="E90" s="92">
        <f>SUM(E91:E93)</f>
        <v>8.65</v>
      </c>
      <c r="F90" s="63">
        <f>SUM(F91:F93)</f>
        <v>503.31067315081185</v>
      </c>
    </row>
    <row r="91" spans="2:6" ht="15.75" customHeight="1" x14ac:dyDescent="0.3">
      <c r="B91" s="54" t="s">
        <v>163</v>
      </c>
      <c r="C91" s="162" t="s">
        <v>164</v>
      </c>
      <c r="D91" s="162"/>
      <c r="E91" s="94">
        <f>PERC_PIS</f>
        <v>0.65</v>
      </c>
      <c r="F91" s="95">
        <f>((MOD_1_REMUNERACAO+MOD_2_ENCARGOS_BENEFICIOS+MOD_3_PROVISAO_RESCISAO+MOD_4_CUSTO_REPOSICAO+MOD_5_INSUMOS+AL_6_A_CUSTOS_INDIRETOS+AL_6_B_LUCRO)*PERC_PIS%)/(1-PERC_TRIBUTOS%)</f>
        <v>37.821033242546562</v>
      </c>
    </row>
    <row r="92" spans="2:6" ht="16.5" customHeight="1" x14ac:dyDescent="0.3">
      <c r="B92" s="54" t="s">
        <v>165</v>
      </c>
      <c r="C92" s="163" t="s">
        <v>166</v>
      </c>
      <c r="D92" s="163"/>
      <c r="E92" s="96">
        <f>PERC_COFINS</f>
        <v>3</v>
      </c>
      <c r="F92" s="97">
        <f>((MOD_1_REMUNERACAO+MOD_2_ENCARGOS_BENEFICIOS+MOD_3_PROVISAO_RESCISAO+MOD_4_CUSTO_REPOSICAO+MOD_5_INSUMOS+AL_6_A_CUSTOS_INDIRETOS+AL_6_B_LUCRO)*PERC_COFINS%)/(1-PERC_TRIBUTOS%)</f>
        <v>174.55861496559947</v>
      </c>
    </row>
    <row r="93" spans="2:6" s="50" customFormat="1" ht="16.5" customHeight="1" x14ac:dyDescent="0.3">
      <c r="B93" s="54" t="s">
        <v>167</v>
      </c>
      <c r="C93" s="162" t="s">
        <v>168</v>
      </c>
      <c r="D93" s="162"/>
      <c r="E93" s="94">
        <f>PERC_ISS</f>
        <v>5</v>
      </c>
      <c r="F93" s="95">
        <f>((MOD_1_REMUNERACAO+MOD_2_ENCARGOS_BENEFICIOS+MOD_3_PROVISAO_RESCISAO+MOD_4_CUSTO_REPOSICAO+MOD_5_INSUMOS+AL_6_A_CUSTOS_INDIRETOS+AL_6_B_LUCRO)*PERC_ISS%)/(1-PERC_TRIBUTOS%)</f>
        <v>290.93102494266583</v>
      </c>
    </row>
    <row r="94" spans="2:6" s="50" customFormat="1" x14ac:dyDescent="0.3">
      <c r="B94" s="138" t="s">
        <v>225</v>
      </c>
      <c r="C94" s="138"/>
      <c r="D94" s="138"/>
      <c r="E94" s="138"/>
      <c r="F94" s="98">
        <f>AL_6_A_CUSTOS_INDIRETOS+AL_6_B_LUCRO+AL_6_C_TRIBUTOS</f>
        <v>1005.6755220027715</v>
      </c>
    </row>
    <row r="95" spans="2:6" s="50" customFormat="1" ht="20.25" x14ac:dyDescent="0.3">
      <c r="B95" s="99" t="s">
        <v>262</v>
      </c>
      <c r="C95" s="100"/>
      <c r="D95" s="100"/>
      <c r="E95" s="100"/>
      <c r="F95" s="101"/>
    </row>
    <row r="96" spans="2:6" s="51" customFormat="1" ht="16.5" customHeight="1" x14ac:dyDescent="0.3">
      <c r="B96" s="33" t="s">
        <v>263</v>
      </c>
      <c r="C96" s="133" t="s">
        <v>264</v>
      </c>
      <c r="D96" s="133"/>
      <c r="E96" s="133"/>
      <c r="F96" s="33" t="s">
        <v>265</v>
      </c>
    </row>
    <row r="97" spans="2:6" s="50" customFormat="1" ht="16.5" customHeight="1" x14ac:dyDescent="0.3">
      <c r="B97" s="12">
        <v>1</v>
      </c>
      <c r="C97" s="143" t="s">
        <v>70</v>
      </c>
      <c r="D97" s="143"/>
      <c r="E97" s="143"/>
      <c r="F97" s="63">
        <f>MOD_1_REMUNERACAO</f>
        <v>1743.69</v>
      </c>
    </row>
    <row r="98" spans="2:6" s="52" customFormat="1" ht="16.5" customHeight="1" x14ac:dyDescent="0.3">
      <c r="B98" s="33">
        <v>2</v>
      </c>
      <c r="C98" s="132" t="s">
        <v>266</v>
      </c>
      <c r="D98" s="132"/>
      <c r="E98" s="132"/>
      <c r="F98" s="64">
        <f>MOD_2_ENCARGOS_BENEFICIOS</f>
        <v>2022.3073999999997</v>
      </c>
    </row>
    <row r="99" spans="2:6" s="52" customFormat="1" ht="16.5" customHeight="1" x14ac:dyDescent="0.3">
      <c r="B99" s="33">
        <v>3</v>
      </c>
      <c r="C99" s="143" t="s">
        <v>186</v>
      </c>
      <c r="D99" s="143"/>
      <c r="E99" s="143"/>
      <c r="F99" s="63">
        <f>MOD_3_PROVISAO_RESCISAO</f>
        <v>53.636591903662861</v>
      </c>
    </row>
    <row r="100" spans="2:6" s="52" customFormat="1" ht="16.5" customHeight="1" x14ac:dyDescent="0.3">
      <c r="B100" s="33">
        <v>4</v>
      </c>
      <c r="C100" s="132" t="s">
        <v>267</v>
      </c>
      <c r="D100" s="132"/>
      <c r="E100" s="132"/>
      <c r="F100" s="64">
        <f>MOD_4_CUSTO_REPOSICAO</f>
        <v>410.7209849468814</v>
      </c>
    </row>
    <row r="101" spans="2:6" s="52" customFormat="1" ht="16.5" customHeight="1" x14ac:dyDescent="0.3">
      <c r="B101" s="33">
        <v>5</v>
      </c>
      <c r="C101" s="143" t="s">
        <v>121</v>
      </c>
      <c r="D101" s="143"/>
      <c r="E101" s="143"/>
      <c r="F101" s="63">
        <f>MOD_5_INSUMOS</f>
        <v>582.59</v>
      </c>
    </row>
    <row r="102" spans="2:6" s="52" customFormat="1" ht="16.5" customHeight="1" x14ac:dyDescent="0.3">
      <c r="B102" s="33">
        <v>6</v>
      </c>
      <c r="C102" s="132" t="s">
        <v>160</v>
      </c>
      <c r="D102" s="132"/>
      <c r="E102" s="132"/>
      <c r="F102" s="64">
        <f>MOD_6_CUSTOS_IND_LUCRO_TRIB</f>
        <v>1005.6755220027715</v>
      </c>
    </row>
    <row r="103" spans="2:6" ht="16.5" customHeight="1" x14ac:dyDescent="0.3">
      <c r="B103" s="133" t="s">
        <v>268</v>
      </c>
      <c r="C103" s="133"/>
      <c r="D103" s="133"/>
      <c r="E103" s="133"/>
      <c r="F103" s="98">
        <f>SUM(F97:F102)+0.01</f>
        <v>5818.6304988533166</v>
      </c>
    </row>
    <row r="104" spans="2:6" ht="16.5" customHeight="1" x14ac:dyDescent="0.3">
      <c r="B104" s="133" t="s">
        <v>269</v>
      </c>
      <c r="C104" s="133"/>
      <c r="D104" s="133"/>
      <c r="E104" s="133"/>
      <c r="F104" s="98">
        <f>VALOR_TOTAL_EMPREGADO*EMPREG_POR_POSTO</f>
        <v>5818.6304988533166</v>
      </c>
    </row>
    <row r="105" spans="2:6" ht="16.5" customHeight="1" x14ac:dyDescent="0.3">
      <c r="B105" s="133" t="s">
        <v>270</v>
      </c>
      <c r="C105" s="133"/>
      <c r="D105" s="133"/>
      <c r="E105" s="133"/>
      <c r="F105" s="98">
        <f>VALOR_TOTAL_EMPREGADO*EMPREG_POR_POSTO*'INSERÇÃO-DE-DADOS'!F21</f>
        <v>11637.260997706633</v>
      </c>
    </row>
    <row r="107" spans="2:6" x14ac:dyDescent="0.3">
      <c r="B107" s="4" t="s">
        <v>271</v>
      </c>
    </row>
  </sheetData>
  <mergeCells count="93">
    <mergeCell ref="C102:E102"/>
    <mergeCell ref="B103:E103"/>
    <mergeCell ref="B104:E104"/>
    <mergeCell ref="B105:E105"/>
    <mergeCell ref="C96:E96"/>
    <mergeCell ref="C97:E97"/>
    <mergeCell ref="C98:E98"/>
    <mergeCell ref="C99:E99"/>
    <mergeCell ref="C100:E100"/>
    <mergeCell ref="C101:E101"/>
    <mergeCell ref="C93:D93"/>
    <mergeCell ref="B94:E94"/>
    <mergeCell ref="C82:E82"/>
    <mergeCell ref="C83:E83"/>
    <mergeCell ref="B84:E84"/>
    <mergeCell ref="B86:F86"/>
    <mergeCell ref="C87:D87"/>
    <mergeCell ref="C88:D88"/>
    <mergeCell ref="C89:D89"/>
    <mergeCell ref="C90:D90"/>
    <mergeCell ref="C91:D91"/>
    <mergeCell ref="C92:D92"/>
    <mergeCell ref="C81:E81"/>
    <mergeCell ref="C67:D67"/>
    <mergeCell ref="C68:D68"/>
    <mergeCell ref="C69:D69"/>
    <mergeCell ref="C70:D70"/>
    <mergeCell ref="C71:D71"/>
    <mergeCell ref="B72:E72"/>
    <mergeCell ref="C74:E74"/>
    <mergeCell ref="C75:E75"/>
    <mergeCell ref="B76:E76"/>
    <mergeCell ref="C79:E79"/>
    <mergeCell ref="C80:E80"/>
    <mergeCell ref="C66:D66"/>
    <mergeCell ref="C51:E51"/>
    <mergeCell ref="C52:E52"/>
    <mergeCell ref="C53:E53"/>
    <mergeCell ref="C54:E54"/>
    <mergeCell ref="B55:E55"/>
    <mergeCell ref="C57:D57"/>
    <mergeCell ref="C58:D58"/>
    <mergeCell ref="C59:D59"/>
    <mergeCell ref="C60:D60"/>
    <mergeCell ref="B61:E61"/>
    <mergeCell ref="C65:D65"/>
    <mergeCell ref="C50:E50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B47:E47"/>
    <mergeCell ref="C49:E49"/>
    <mergeCell ref="B37:F37"/>
    <mergeCell ref="C24:E24"/>
    <mergeCell ref="C25:E25"/>
    <mergeCell ref="C26:E26"/>
    <mergeCell ref="C27:E27"/>
    <mergeCell ref="C28:E28"/>
    <mergeCell ref="C29:E29"/>
    <mergeCell ref="B30:E30"/>
    <mergeCell ref="C33:D33"/>
    <mergeCell ref="C34:D34"/>
    <mergeCell ref="C35:D35"/>
    <mergeCell ref="B36:E36"/>
    <mergeCell ref="C23:E23"/>
    <mergeCell ref="C11:E11"/>
    <mergeCell ref="C12:E12"/>
    <mergeCell ref="D16:F16"/>
    <mergeCell ref="D14:F14"/>
    <mergeCell ref="D15:F15"/>
    <mergeCell ref="C17:E17"/>
    <mergeCell ref="B18:F18"/>
    <mergeCell ref="B19:E19"/>
    <mergeCell ref="C21:E21"/>
    <mergeCell ref="C22:E22"/>
    <mergeCell ref="C10:E10"/>
    <mergeCell ref="B1:F1"/>
    <mergeCell ref="B2:D2"/>
    <mergeCell ref="B3:F3"/>
    <mergeCell ref="B4:F4"/>
    <mergeCell ref="B5:C5"/>
    <mergeCell ref="D5:F5"/>
    <mergeCell ref="B6:C6"/>
    <mergeCell ref="D6:E6"/>
    <mergeCell ref="B7:F7"/>
    <mergeCell ref="C8:E8"/>
    <mergeCell ref="D9:F9"/>
  </mergeCells>
  <pageMargins left="0.511811024" right="0.511811024" top="0.78740157499999996" bottom="0.78740157499999996" header="0.31496062000000002" footer="0.31496062000000002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AF980-D7F5-4689-9638-AE61C6724508}">
  <sheetPr>
    <pageSetUpPr fitToPage="1"/>
  </sheetPr>
  <dimension ref="A1:AMJ107"/>
  <sheetViews>
    <sheetView topLeftCell="A87" workbookViewId="0">
      <selection activeCell="F106" sqref="F106"/>
    </sheetView>
  </sheetViews>
  <sheetFormatPr defaultColWidth="9.140625" defaultRowHeight="16.5" x14ac:dyDescent="0.3"/>
  <cols>
    <col min="1" max="1" width="2.7109375" style="4" customWidth="1"/>
    <col min="2" max="2" width="8.85546875" style="4" customWidth="1"/>
    <col min="3" max="3" width="54.85546875" style="4" customWidth="1"/>
    <col min="4" max="4" width="7.85546875" style="4" customWidth="1"/>
    <col min="5" max="5" width="13.5703125" style="4" customWidth="1"/>
    <col min="6" max="6" width="15.42578125" style="4" customWidth="1"/>
    <col min="7" max="1024" width="9.140625" style="4"/>
  </cols>
  <sheetData>
    <row r="1" spans="2:6" ht="20.25" x14ac:dyDescent="0.35">
      <c r="B1" s="150" t="str">
        <f>RAMO</f>
        <v>RAMO: ESCOLA SUPERIOR DO MINISTÉRIO PÚBLICO DA UNIÃO</v>
      </c>
      <c r="C1" s="150"/>
      <c r="D1" s="150"/>
      <c r="E1" s="150"/>
      <c r="F1" s="150"/>
    </row>
    <row r="2" spans="2:6" ht="20.25" x14ac:dyDescent="0.35">
      <c r="B2" s="151" t="str">
        <f>UG</f>
        <v>UNIDADE GESTORA (SIGLA): ESMPU</v>
      </c>
      <c r="C2" s="151"/>
      <c r="D2" s="151"/>
      <c r="E2" s="71" t="s">
        <v>2</v>
      </c>
      <c r="F2" s="72">
        <f>DATA_DO_ORCAMENTO_ESTIMATIVO</f>
        <v>45702</v>
      </c>
    </row>
    <row r="3" spans="2:6" s="6" customFormat="1" ht="25.5" x14ac:dyDescent="0.5">
      <c r="B3" s="124" t="s">
        <v>243</v>
      </c>
      <c r="C3" s="124"/>
      <c r="D3" s="124"/>
      <c r="E3" s="124"/>
      <c r="F3" s="124"/>
    </row>
    <row r="4" spans="2:6" s="6" customFormat="1" ht="15.95" customHeight="1" x14ac:dyDescent="0.3">
      <c r="B4" s="125" t="s">
        <v>4</v>
      </c>
      <c r="C4" s="125"/>
      <c r="D4" s="125"/>
      <c r="E4" s="125"/>
      <c r="F4" s="125"/>
    </row>
    <row r="5" spans="2:6" s="6" customFormat="1" ht="15.95" customHeight="1" x14ac:dyDescent="0.3">
      <c r="B5" s="126" t="s">
        <v>244</v>
      </c>
      <c r="C5" s="126"/>
      <c r="D5" s="152" t="str">
        <f>NUMERO_PROCESSO</f>
        <v>0.01.000.1.003277/2024-10</v>
      </c>
      <c r="E5" s="152"/>
      <c r="F5" s="152"/>
    </row>
    <row r="6" spans="2:6" s="6" customFormat="1" ht="15.75" customHeight="1" x14ac:dyDescent="0.3">
      <c r="B6" s="128" t="s">
        <v>245</v>
      </c>
      <c r="C6" s="128"/>
      <c r="D6" s="153" t="str">
        <f>MODALIDADE_DE_LICITACAO</f>
        <v>Pregão nº</v>
      </c>
      <c r="E6" s="153"/>
      <c r="F6" s="73" t="str">
        <f>NUMERO_PREGAO</f>
        <v>XX/20XX</v>
      </c>
    </row>
    <row r="7" spans="2:6" s="6" customFormat="1" ht="15.75" customHeight="1" x14ac:dyDescent="0.3">
      <c r="B7" s="154" t="s">
        <v>246</v>
      </c>
      <c r="C7" s="154"/>
      <c r="D7" s="154"/>
      <c r="E7" s="154"/>
      <c r="F7" s="154"/>
    </row>
    <row r="8" spans="2:6" s="6" customFormat="1" ht="18" customHeight="1" x14ac:dyDescent="0.3">
      <c r="B8" s="10" t="s">
        <v>14</v>
      </c>
      <c r="C8" s="126" t="s">
        <v>15</v>
      </c>
      <c r="D8" s="126"/>
      <c r="E8" s="126"/>
      <c r="F8" s="74" t="str">
        <f>DATA_APRESENTACAO_PROPOSTA</f>
        <v>XX/XX/20XX</v>
      </c>
    </row>
    <row r="9" spans="2:6" s="6" customFormat="1" ht="15.95" customHeight="1" x14ac:dyDescent="0.15">
      <c r="B9" s="12" t="s">
        <v>16</v>
      </c>
      <c r="C9" s="13" t="s">
        <v>17</v>
      </c>
      <c r="D9" s="145" t="str">
        <f>IF(LOCAL_DE_EXECUCAO="","",LOCAL_DE_EXECUCAO)</f>
        <v>SEDE DA ESMPU</v>
      </c>
      <c r="E9" s="145"/>
      <c r="F9" s="145"/>
    </row>
    <row r="10" spans="2:6" s="6" customFormat="1" ht="18.75" customHeight="1" x14ac:dyDescent="0.3">
      <c r="B10" s="10" t="s">
        <v>19</v>
      </c>
      <c r="C10" s="126" t="s">
        <v>23</v>
      </c>
      <c r="D10" s="126"/>
      <c r="E10" s="126"/>
      <c r="F10" s="75" t="str">
        <f>ACORDO_COLETIVO</f>
        <v>01/2025</v>
      </c>
    </row>
    <row r="11" spans="2:6" s="6" customFormat="1" ht="15.95" customHeight="1" x14ac:dyDescent="0.3">
      <c r="B11" s="12" t="s">
        <v>22</v>
      </c>
      <c r="C11" s="145" t="s">
        <v>26</v>
      </c>
      <c r="D11" s="145"/>
      <c r="E11" s="145"/>
      <c r="F11" s="40">
        <f>NUMERO_MESES_EXEC_CONTRATUAL</f>
        <v>12</v>
      </c>
    </row>
    <row r="12" spans="2:6" s="6" customFormat="1" x14ac:dyDescent="0.3">
      <c r="B12" s="12" t="s">
        <v>25</v>
      </c>
      <c r="C12" s="155" t="s">
        <v>247</v>
      </c>
      <c r="D12" s="155"/>
      <c r="E12" s="155"/>
      <c r="F12" s="15">
        <f>'INSERÇÃO-DE-DADOS'!F22</f>
        <v>1</v>
      </c>
    </row>
    <row r="13" spans="2:6" s="76" customFormat="1" ht="15" customHeight="1" x14ac:dyDescent="0.2">
      <c r="B13" s="77" t="s">
        <v>68</v>
      </c>
      <c r="C13" s="78"/>
      <c r="D13" s="78"/>
      <c r="E13" s="78"/>
      <c r="F13" s="78"/>
    </row>
    <row r="14" spans="2:6" s="6" customFormat="1" x14ac:dyDescent="0.3">
      <c r="B14" s="10">
        <v>1</v>
      </c>
      <c r="C14" s="24" t="s">
        <v>248</v>
      </c>
      <c r="D14" s="165" t="str">
        <f>'INSERÇÃO-DE-DADOS'!C22</f>
        <v>Encarregado geral</v>
      </c>
      <c r="E14" s="166"/>
      <c r="F14" s="167"/>
    </row>
    <row r="15" spans="2:6" s="6" customFormat="1" x14ac:dyDescent="0.3">
      <c r="B15" s="10">
        <v>2</v>
      </c>
      <c r="C15" s="3" t="s">
        <v>249</v>
      </c>
      <c r="D15" s="152" t="str">
        <f>'INSERÇÃO-DE-DADOS'!D32</f>
        <v>4101-05</v>
      </c>
      <c r="E15" s="152"/>
      <c r="F15" s="152"/>
    </row>
    <row r="16" spans="2:6" s="6" customFormat="1" ht="15" customHeight="1" x14ac:dyDescent="0.3">
      <c r="B16" s="10">
        <v>3</v>
      </c>
      <c r="C16" s="24" t="s">
        <v>64</v>
      </c>
      <c r="D16" s="152" t="str">
        <f>IF(CATEGORIA_PROFISSIONAL="","",CATEGORIA_PROFISSIONAL)</f>
        <v>Apoio Administrativo</v>
      </c>
      <c r="E16" s="152"/>
      <c r="F16" s="152"/>
    </row>
    <row r="17" spans="2:6" s="6" customFormat="1" ht="15" customHeight="1" x14ac:dyDescent="0.3">
      <c r="B17" s="10">
        <v>4</v>
      </c>
      <c r="C17" s="128" t="s">
        <v>66</v>
      </c>
      <c r="D17" s="128"/>
      <c r="E17" s="128"/>
      <c r="F17" s="79">
        <f>DATA_BASE_CATEGORIA</f>
        <v>45658</v>
      </c>
    </row>
    <row r="18" spans="2:6" s="80" customFormat="1" ht="20.25" customHeight="1" x14ac:dyDescent="0.3">
      <c r="B18" s="157" t="s">
        <v>250</v>
      </c>
      <c r="C18" s="157"/>
      <c r="D18" s="157"/>
      <c r="E18" s="157"/>
      <c r="F18" s="157"/>
    </row>
    <row r="19" spans="2:6" x14ac:dyDescent="0.3">
      <c r="B19" s="138" t="s">
        <v>251</v>
      </c>
      <c r="C19" s="138"/>
      <c r="D19" s="138"/>
      <c r="E19" s="138"/>
      <c r="F19" s="81">
        <f>IF(EMPREG_POR_POSTO="","",EMPREG_POR_POSTO)</f>
        <v>1</v>
      </c>
    </row>
    <row r="20" spans="2:6" x14ac:dyDescent="0.3">
      <c r="B20" s="31" t="s">
        <v>69</v>
      </c>
      <c r="E20" s="32"/>
      <c r="F20" s="32"/>
    </row>
    <row r="21" spans="2:6" ht="16.5" customHeight="1" x14ac:dyDescent="0.3">
      <c r="B21" s="12">
        <v>1</v>
      </c>
      <c r="C21" s="133" t="s">
        <v>70</v>
      </c>
      <c r="D21" s="133"/>
      <c r="E21" s="133"/>
      <c r="F21" s="33" t="s">
        <v>122</v>
      </c>
    </row>
    <row r="22" spans="2:6" ht="16.5" customHeight="1" x14ac:dyDescent="0.3">
      <c r="B22" s="12" t="s">
        <v>14</v>
      </c>
      <c r="C22" s="134" t="s">
        <v>252</v>
      </c>
      <c r="D22" s="134"/>
      <c r="E22" s="134"/>
      <c r="F22" s="82">
        <f>'INSERÇÃO-DE-DADOS'!F46</f>
        <v>4220.33</v>
      </c>
    </row>
    <row r="23" spans="2:6" ht="16.5" customHeight="1" x14ac:dyDescent="0.3">
      <c r="B23" s="12" t="s">
        <v>16</v>
      </c>
      <c r="C23" s="132" t="s">
        <v>253</v>
      </c>
      <c r="D23" s="132"/>
      <c r="E23" s="132"/>
      <c r="F23" s="83">
        <f>PERC_ADIC_PERIC%*SALARIO_BASE</f>
        <v>0</v>
      </c>
    </row>
    <row r="24" spans="2:6" ht="15.75" customHeight="1" x14ac:dyDescent="0.3">
      <c r="B24" s="12" t="s">
        <v>19</v>
      </c>
      <c r="C24" s="159" t="s">
        <v>254</v>
      </c>
      <c r="D24" s="159"/>
      <c r="E24" s="159"/>
      <c r="F24" s="82">
        <f>((AL_1_A_SAL_BASE+AL_1_B_ADIC_PERIC)/DIVISOR_DE_HORAS)*DIAS_NA_SEMANA*MEDIA_ANUAL_DIAS_TRABALHO_MES*PERC_ADIC_NOT%</f>
        <v>0</v>
      </c>
    </row>
    <row r="25" spans="2:6" ht="15.75" customHeight="1" x14ac:dyDescent="0.3">
      <c r="B25" s="12" t="s">
        <v>22</v>
      </c>
      <c r="C25" s="132" t="s">
        <v>255</v>
      </c>
      <c r="D25" s="132"/>
      <c r="E25" s="132"/>
      <c r="F25" s="83">
        <f>((AL_1_A_SAL_BASE+AL_1_B_ADIC_PERIC)/DIVISOR_DE_HORAS)*((HORA_NORMAL-HORA_NOTURNA)/HORA_NOTURNA)*DIAS_NA_SEMANA*MEDIA_ANUAL_DIAS_TRABALHO_MES*PERC_ADIC_NOT%</f>
        <v>0</v>
      </c>
    </row>
    <row r="26" spans="2:6" ht="15.75" customHeight="1" x14ac:dyDescent="0.3">
      <c r="B26" s="12" t="s">
        <v>25</v>
      </c>
      <c r="C26" s="143" t="s">
        <v>256</v>
      </c>
      <c r="D26" s="143"/>
      <c r="E26" s="143"/>
      <c r="F26" s="82">
        <f>PERC_ADIC_INS%*SAL_MINIMO</f>
        <v>0</v>
      </c>
    </row>
    <row r="27" spans="2:6" x14ac:dyDescent="0.3">
      <c r="B27" s="12" t="s">
        <v>90</v>
      </c>
      <c r="C27" s="135" t="str">
        <f>OUTROS_REMUNERACAO_1_DESCRICAO</f>
        <v>Outras Remunerações 1 (Especificar)</v>
      </c>
      <c r="D27" s="135"/>
      <c r="E27" s="135"/>
      <c r="F27" s="83">
        <f>OUTROS_REMUNERACAO_1</f>
        <v>0</v>
      </c>
    </row>
    <row r="28" spans="2:6" x14ac:dyDescent="0.3">
      <c r="B28" s="12" t="s">
        <v>92</v>
      </c>
      <c r="C28" s="134" t="str">
        <f>OUTROS_REMUNERACAO_2_DESCRICAO</f>
        <v>Outras Remunerações 2 (Especificar)</v>
      </c>
      <c r="D28" s="134"/>
      <c r="E28" s="134"/>
      <c r="F28" s="82">
        <f>OUTROS_REMUNERACAO_2</f>
        <v>0</v>
      </c>
    </row>
    <row r="29" spans="2:6" x14ac:dyDescent="0.3">
      <c r="B29" s="12" t="s">
        <v>200</v>
      </c>
      <c r="C29" s="135" t="str">
        <f>OUTROS_REMUNERACAO_3_DESCRICAO</f>
        <v>Outras Remunerações 3 (Especificar)</v>
      </c>
      <c r="D29" s="135"/>
      <c r="E29" s="135"/>
      <c r="F29" s="83">
        <f>OUTROS_REMUNERACAO_3</f>
        <v>0</v>
      </c>
    </row>
    <row r="30" spans="2:6" ht="16.5" customHeight="1" x14ac:dyDescent="0.3">
      <c r="B30" s="133" t="s">
        <v>225</v>
      </c>
      <c r="C30" s="133"/>
      <c r="D30" s="133"/>
      <c r="E30" s="133"/>
      <c r="F30" s="84">
        <f>SUM(F22:F29)</f>
        <v>4220.33</v>
      </c>
    </row>
    <row r="31" spans="2:6" x14ac:dyDescent="0.3">
      <c r="B31" s="31" t="s">
        <v>94</v>
      </c>
      <c r="E31" s="37"/>
      <c r="F31" s="37"/>
    </row>
    <row r="32" spans="2:6" x14ac:dyDescent="0.3">
      <c r="B32" s="31" t="s">
        <v>206</v>
      </c>
      <c r="C32" s="43"/>
      <c r="D32" s="44"/>
      <c r="E32" s="45"/>
      <c r="F32" s="45"/>
    </row>
    <row r="33" spans="2:6" x14ac:dyDescent="0.3">
      <c r="B33" s="12" t="s">
        <v>207</v>
      </c>
      <c r="C33" s="138" t="s">
        <v>208</v>
      </c>
      <c r="D33" s="138"/>
      <c r="E33" s="33" t="s">
        <v>112</v>
      </c>
      <c r="F33" s="33" t="s">
        <v>122</v>
      </c>
    </row>
    <row r="34" spans="2:6" ht="16.5" customHeight="1" x14ac:dyDescent="0.3">
      <c r="B34" s="12" t="s">
        <v>14</v>
      </c>
      <c r="C34" s="143" t="s">
        <v>210</v>
      </c>
      <c r="D34" s="143"/>
      <c r="E34" s="66">
        <f>PERC_DEC_TERC</f>
        <v>8.3333333333333321</v>
      </c>
      <c r="F34" s="63">
        <f>PERC_DEC_TERC%*MOD_1_REMUNERACAO</f>
        <v>351.6941666666666</v>
      </c>
    </row>
    <row r="35" spans="2:6" ht="16.5" customHeight="1" x14ac:dyDescent="0.3">
      <c r="B35" s="33" t="s">
        <v>16</v>
      </c>
      <c r="C35" s="132" t="s">
        <v>212</v>
      </c>
      <c r="D35" s="132"/>
      <c r="E35" s="67">
        <f>PERC_ADIC_FERIAS</f>
        <v>2.7777777777777777</v>
      </c>
      <c r="F35" s="64">
        <f>PERC_ADIC_FERIAS%*MOD_1_REMUNERACAO</f>
        <v>117.23138888888889</v>
      </c>
    </row>
    <row r="36" spans="2:6" s="36" customFormat="1" x14ac:dyDescent="0.3">
      <c r="B36" s="138" t="s">
        <v>225</v>
      </c>
      <c r="C36" s="138"/>
      <c r="D36" s="138"/>
      <c r="E36" s="138"/>
      <c r="F36" s="85">
        <f>SUM(F34:F35)</f>
        <v>468.92555555555549</v>
      </c>
    </row>
    <row r="37" spans="2:6" s="36" customFormat="1" ht="31.5" customHeight="1" x14ac:dyDescent="0.3">
      <c r="B37" s="158" t="s">
        <v>214</v>
      </c>
      <c r="C37" s="158"/>
      <c r="D37" s="158"/>
      <c r="E37" s="158"/>
      <c r="F37" s="158"/>
    </row>
    <row r="38" spans="2:6" s="36" customFormat="1" ht="34.5" customHeight="1" x14ac:dyDescent="0.3">
      <c r="B38" s="12" t="s">
        <v>215</v>
      </c>
      <c r="C38" s="147" t="s">
        <v>216</v>
      </c>
      <c r="D38" s="147"/>
      <c r="E38" s="33" t="s">
        <v>112</v>
      </c>
      <c r="F38" s="33" t="s">
        <v>122</v>
      </c>
    </row>
    <row r="39" spans="2:6" ht="16.5" customHeight="1" x14ac:dyDescent="0.3">
      <c r="B39" s="12" t="s">
        <v>14</v>
      </c>
      <c r="C39" s="143" t="s">
        <v>217</v>
      </c>
      <c r="D39" s="143"/>
      <c r="E39" s="66">
        <f>PERC_INSS</f>
        <v>20</v>
      </c>
      <c r="F39" s="63">
        <f>PERC_INSS%*(MOD_1_REMUNERACAO+SUBMOD_2_1_DEC_TERC_ADIC_FERIAS)</f>
        <v>937.85111111111109</v>
      </c>
    </row>
    <row r="40" spans="2:6" s="6" customFormat="1" ht="16.5" customHeight="1" x14ac:dyDescent="0.15">
      <c r="B40" s="33" t="s">
        <v>16</v>
      </c>
      <c r="C40" s="132" t="s">
        <v>218</v>
      </c>
      <c r="D40" s="132"/>
      <c r="E40" s="68">
        <f>PERC_SAL_EDUCACAO</f>
        <v>2.5</v>
      </c>
      <c r="F40" s="64">
        <f>PERC_SAL_EDUCACAO%*(MOD_1_REMUNERACAO+SUBMOD_2_1_DEC_TERC_ADIC_FERIAS)</f>
        <v>117.23138888888889</v>
      </c>
    </row>
    <row r="41" spans="2:6" s="6" customFormat="1" ht="16.5" customHeight="1" x14ac:dyDescent="0.15">
      <c r="B41" s="33" t="s">
        <v>19</v>
      </c>
      <c r="C41" s="143" t="s">
        <v>219</v>
      </c>
      <c r="D41" s="143"/>
      <c r="E41" s="66">
        <f>PERC_RAT</f>
        <v>3</v>
      </c>
      <c r="F41" s="63">
        <f>PERC_RAT%*(MOD_1_REMUNERACAO+SUBMOD_2_1_DEC_TERC_ADIC_FERIAS)</f>
        <v>140.67766666666665</v>
      </c>
    </row>
    <row r="42" spans="2:6" s="6" customFormat="1" ht="16.5" customHeight="1" x14ac:dyDescent="0.15">
      <c r="B42" s="33" t="s">
        <v>22</v>
      </c>
      <c r="C42" s="132" t="s">
        <v>220</v>
      </c>
      <c r="D42" s="132"/>
      <c r="E42" s="67">
        <f>PERC_SESC</f>
        <v>1.5</v>
      </c>
      <c r="F42" s="64">
        <f>PERC_SESC%*(MOD_1_REMUNERACAO+SUBMOD_2_1_DEC_TERC_ADIC_FERIAS)</f>
        <v>70.338833333333326</v>
      </c>
    </row>
    <row r="43" spans="2:6" s="6" customFormat="1" ht="16.5" customHeight="1" x14ac:dyDescent="0.15">
      <c r="B43" s="33" t="s">
        <v>25</v>
      </c>
      <c r="C43" s="143" t="s">
        <v>221</v>
      </c>
      <c r="D43" s="143"/>
      <c r="E43" s="66">
        <f>PERC_SENAC</f>
        <v>1</v>
      </c>
      <c r="F43" s="63">
        <f>PERC_SENAC%*(MOD_1_REMUNERACAO+SUBMOD_2_1_DEC_TERC_ADIC_FERIAS)</f>
        <v>46.892555555555553</v>
      </c>
    </row>
    <row r="44" spans="2:6" s="6" customFormat="1" ht="16.5" customHeight="1" x14ac:dyDescent="0.15">
      <c r="B44" s="33" t="s">
        <v>90</v>
      </c>
      <c r="C44" s="132" t="s">
        <v>222</v>
      </c>
      <c r="D44" s="132"/>
      <c r="E44" s="68">
        <f>PERC_SEBRAE</f>
        <v>0.6</v>
      </c>
      <c r="F44" s="64">
        <f>PERC_SEBRAE%*(MOD_1_REMUNERACAO+SUBMOD_2_1_DEC_TERC_ADIC_FERIAS)</f>
        <v>28.135533333333335</v>
      </c>
    </row>
    <row r="45" spans="2:6" s="6" customFormat="1" ht="16.5" customHeight="1" x14ac:dyDescent="0.15">
      <c r="B45" s="33" t="s">
        <v>92</v>
      </c>
      <c r="C45" s="143" t="s">
        <v>223</v>
      </c>
      <c r="D45" s="143"/>
      <c r="E45" s="66">
        <f>PERC_INCRA</f>
        <v>0.2</v>
      </c>
      <c r="F45" s="63">
        <f>PERC_INCRA%*(MOD_1_REMUNERACAO+SUBMOD_2_1_DEC_TERC_ADIC_FERIAS)</f>
        <v>9.378511111111111</v>
      </c>
    </row>
    <row r="46" spans="2:6" ht="16.5" customHeight="1" x14ac:dyDescent="0.3">
      <c r="B46" s="33" t="s">
        <v>200</v>
      </c>
      <c r="C46" s="132" t="s">
        <v>224</v>
      </c>
      <c r="D46" s="132"/>
      <c r="E46" s="68">
        <f>PERC_FGTS</f>
        <v>8</v>
      </c>
      <c r="F46" s="64">
        <f>PERC_FGTS%*(MOD_1_REMUNERACAO+SUBMOD_2_1_DEC_TERC_ADIC_FERIAS)</f>
        <v>375.14044444444443</v>
      </c>
    </row>
    <row r="47" spans="2:6" x14ac:dyDescent="0.3">
      <c r="B47" s="138" t="s">
        <v>225</v>
      </c>
      <c r="C47" s="138"/>
      <c r="D47" s="138"/>
      <c r="E47" s="138"/>
      <c r="F47" s="86">
        <f>SUM(F39:F46)</f>
        <v>1725.6460444444444</v>
      </c>
    </row>
    <row r="48" spans="2:6" ht="15.75" customHeight="1" x14ac:dyDescent="0.3">
      <c r="B48" s="31" t="s">
        <v>95</v>
      </c>
      <c r="C48" s="6"/>
      <c r="D48" s="6"/>
      <c r="E48" s="6"/>
      <c r="F48" s="6"/>
    </row>
    <row r="49" spans="2:6" ht="15.75" customHeight="1" x14ac:dyDescent="0.3">
      <c r="B49" s="12" t="s">
        <v>96</v>
      </c>
      <c r="C49" s="133" t="s">
        <v>97</v>
      </c>
      <c r="D49" s="133"/>
      <c r="E49" s="133"/>
      <c r="F49" s="33" t="s">
        <v>122</v>
      </c>
    </row>
    <row r="50" spans="2:6" ht="16.5" customHeight="1" x14ac:dyDescent="0.3">
      <c r="B50" s="10" t="s">
        <v>14</v>
      </c>
      <c r="C50" s="143" t="s">
        <v>100</v>
      </c>
      <c r="D50" s="143"/>
      <c r="E50" s="143"/>
      <c r="F50" s="63">
        <f>IF(((TRANSPORTE_POR_DIA*DIAS_TRABALHADOS_NO_MES)-(PERC_DESC_TRANSP_REMUNERACAO%*(AL_1_A_SAL_BASE)))&gt;0,((TRANSPORTE_POR_DIA*DIAS_TRABALHADOS_NO_MES)-(PERC_DESC_TRANSP_REMUNERACAO%*(AL_1_A_SAL_BASE))),0)</f>
        <v>0</v>
      </c>
    </row>
    <row r="51" spans="2:6" s="36" customFormat="1" ht="16.5" customHeight="1" x14ac:dyDescent="0.3">
      <c r="B51" s="10" t="s">
        <v>16</v>
      </c>
      <c r="C51" s="132" t="s">
        <v>102</v>
      </c>
      <c r="D51" s="132"/>
      <c r="E51" s="132"/>
      <c r="F51" s="64">
        <f>ALIMENTACAO_POR_DIA*DIAS_TRABALHADOS_NO_MES</f>
        <v>974.59999999999991</v>
      </c>
    </row>
    <row r="52" spans="2:6" s="36" customFormat="1" x14ac:dyDescent="0.3">
      <c r="B52" s="10" t="s">
        <v>19</v>
      </c>
      <c r="C52" s="134" t="str">
        <f>OUTROS_BENEFICIOS_1_DESCRICAO</f>
        <v>Assistência Funeral - Seguro de Vida Coletivo</v>
      </c>
      <c r="D52" s="134"/>
      <c r="E52" s="134"/>
      <c r="F52" s="63">
        <f>OUTROS_BENEFICIOS_1</f>
        <v>3.61</v>
      </c>
    </row>
    <row r="53" spans="2:6" s="36" customFormat="1" x14ac:dyDescent="0.3">
      <c r="B53" s="10" t="s">
        <v>22</v>
      </c>
      <c r="C53" s="135" t="str">
        <f>OUTROS_BENEFICIOS_2_DESCRICAO</f>
        <v>Outros Benefícios 2 (Especificar)</v>
      </c>
      <c r="D53" s="135"/>
      <c r="E53" s="135"/>
      <c r="F53" s="64">
        <f>OUTROS_BENEFICIOS_2</f>
        <v>0</v>
      </c>
    </row>
    <row r="54" spans="2:6" s="36" customFormat="1" x14ac:dyDescent="0.3">
      <c r="B54" s="10" t="s">
        <v>25</v>
      </c>
      <c r="C54" s="134" t="str">
        <f>OUTROS_BENEFICIOS_3_DESCRICAO</f>
        <v>Outros Benefícios 3 (Especificar)</v>
      </c>
      <c r="D54" s="134"/>
      <c r="E54" s="134"/>
      <c r="F54" s="63">
        <f>OUTROS_BENEFICIOS_3</f>
        <v>0</v>
      </c>
    </row>
    <row r="55" spans="2:6" s="36" customFormat="1" ht="15" customHeight="1" x14ac:dyDescent="0.3">
      <c r="B55" s="133" t="s">
        <v>225</v>
      </c>
      <c r="C55" s="133"/>
      <c r="D55" s="133"/>
      <c r="E55" s="133"/>
      <c r="F55" s="84">
        <f>SUM(F50:F54)</f>
        <v>978.20999999999992</v>
      </c>
    </row>
    <row r="56" spans="2:6" s="36" customFormat="1" x14ac:dyDescent="0.3">
      <c r="B56" s="31" t="s">
        <v>185</v>
      </c>
      <c r="C56" s="43"/>
      <c r="D56" s="44"/>
      <c r="E56" s="45"/>
      <c r="F56" s="45"/>
    </row>
    <row r="57" spans="2:6" s="36" customFormat="1" ht="15" customHeight="1" x14ac:dyDescent="0.3">
      <c r="B57" s="12">
        <v>3</v>
      </c>
      <c r="C57" s="138" t="s">
        <v>186</v>
      </c>
      <c r="D57" s="138"/>
      <c r="E57" s="33" t="s">
        <v>112</v>
      </c>
      <c r="F57" s="33" t="s">
        <v>122</v>
      </c>
    </row>
    <row r="58" spans="2:6" s="36" customFormat="1" x14ac:dyDescent="0.3">
      <c r="B58" s="12" t="s">
        <v>14</v>
      </c>
      <c r="C58" s="148" t="s">
        <v>226</v>
      </c>
      <c r="D58" s="148"/>
      <c r="E58" s="66">
        <f>PERC_AVISO_PREVIO_IND</f>
        <v>0.29105124999999998</v>
      </c>
      <c r="F58" s="63">
        <f>PERC_AVISO_PREVIO_IND%*(MOD_1_REMUNERACAO+SUBMOD_2_1_DEC_TERC_ADIC_FERIAS+AL_2_2_FGTS+SUBMOD_2_3_BENEFICIOS)</f>
        <v>17.587080295574999</v>
      </c>
    </row>
    <row r="59" spans="2:6" s="36" customFormat="1" x14ac:dyDescent="0.3">
      <c r="B59" s="33" t="s">
        <v>16</v>
      </c>
      <c r="C59" s="149" t="s">
        <v>228</v>
      </c>
      <c r="D59" s="149"/>
      <c r="E59" s="68">
        <f>PERC_AVISO_PREVIO_TRAB</f>
        <v>1.1557269305555555</v>
      </c>
      <c r="F59" s="64">
        <f>PERC_AVISO_PREVIO_TRAB%*(MOD_1_REMUNERACAO+SUBMOD_2_1_DEC_TERC_ADIC_FERIAS+SUBMOD_2_2_GPS_FGTS+SUBMOD_2_3_BENEFICIOS)</f>
        <v>85.444181767226723</v>
      </c>
    </row>
    <row r="60" spans="2:6" s="6" customFormat="1" x14ac:dyDescent="0.15">
      <c r="B60" s="33" t="s">
        <v>19</v>
      </c>
      <c r="C60" s="148" t="s">
        <v>230</v>
      </c>
      <c r="D60" s="148"/>
      <c r="E60" s="66">
        <f>PERC_MULTA_FGTS_AV_PREV_TRAB</f>
        <v>0.04</v>
      </c>
      <c r="F60" s="63">
        <f>PERC_MULTA_FGTS_AV_PREV_TRAB%*(MOD_1_REMUNERACAO+SUBMOD_2_1_DEC_TERC_ADIC_FERIAS)</f>
        <v>1.8757022222222224</v>
      </c>
    </row>
    <row r="61" spans="2:6" s="6" customFormat="1" x14ac:dyDescent="0.3">
      <c r="B61" s="138" t="s">
        <v>225</v>
      </c>
      <c r="C61" s="138"/>
      <c r="D61" s="138"/>
      <c r="E61" s="138"/>
      <c r="F61" s="85">
        <f>SUM(F58:F60)</f>
        <v>104.90696428502393</v>
      </c>
    </row>
    <row r="62" spans="2:6" ht="7.5" customHeight="1" x14ac:dyDescent="0.3">
      <c r="B62" s="87"/>
      <c r="D62" s="23"/>
      <c r="E62" s="32"/>
      <c r="F62" s="32"/>
    </row>
    <row r="63" spans="2:6" s="6" customFormat="1" ht="15.95" customHeight="1" x14ac:dyDescent="0.3">
      <c r="B63" s="31" t="s">
        <v>108</v>
      </c>
      <c r="C63" s="43"/>
      <c r="D63" s="44"/>
      <c r="E63" s="4"/>
      <c r="F63" s="4"/>
    </row>
    <row r="64" spans="2:6" s="6" customFormat="1" ht="15.95" customHeight="1" x14ac:dyDescent="0.3">
      <c r="B64" s="31" t="s">
        <v>109</v>
      </c>
      <c r="C64" s="43"/>
      <c r="D64" s="44"/>
      <c r="E64" s="45"/>
      <c r="F64" s="45"/>
    </row>
    <row r="65" spans="2:6" s="6" customFormat="1" ht="16.5" customHeight="1" x14ac:dyDescent="0.15">
      <c r="B65" s="12" t="s">
        <v>110</v>
      </c>
      <c r="C65" s="133" t="s">
        <v>111</v>
      </c>
      <c r="D65" s="133"/>
      <c r="E65" s="33" t="s">
        <v>112</v>
      </c>
      <c r="F65" s="33" t="s">
        <v>122</v>
      </c>
    </row>
    <row r="66" spans="2:6" s="6" customFormat="1" ht="15.95" customHeight="1" x14ac:dyDescent="0.15">
      <c r="B66" s="33" t="s">
        <v>14</v>
      </c>
      <c r="C66" s="143" t="s">
        <v>232</v>
      </c>
      <c r="D66" s="143"/>
      <c r="E66" s="66">
        <f>PERC_SUBSTITUTO_FERIAS</f>
        <v>8.3333333333333321</v>
      </c>
      <c r="F66" s="63">
        <f>PERC_SUBSTITUTO_FERIAS%*(MOD_1_REMUNERACAO+MOD_2_ENCARGOS_BENEFICIOS+MOD_3_PROVISAO_RESCISAO)</f>
        <v>624.83488035708513</v>
      </c>
    </row>
    <row r="67" spans="2:6" s="6" customFormat="1" ht="15.95" customHeight="1" x14ac:dyDescent="0.15">
      <c r="B67" s="33" t="s">
        <v>16</v>
      </c>
      <c r="C67" s="132" t="s">
        <v>234</v>
      </c>
      <c r="D67" s="132"/>
      <c r="E67" s="68">
        <f>PERC_SUBSTITUTO_AUSENCIAS_LEGAIS</f>
        <v>2.2222222222222223</v>
      </c>
      <c r="F67" s="64">
        <f>PERC_SUBSTITUTO_AUSENCIAS_LEGAIS%*(MOD_1_REMUNERACAO+MOD_2_ENCARGOS_BENEFICIOS+MOD_3_PROVISAO_RESCISAO)</f>
        <v>166.62263476188943</v>
      </c>
    </row>
    <row r="68" spans="2:6" s="6" customFormat="1" ht="15.95" customHeight="1" x14ac:dyDescent="0.15">
      <c r="B68" s="33" t="s">
        <v>19</v>
      </c>
      <c r="C68" s="143" t="s">
        <v>236</v>
      </c>
      <c r="D68" s="143"/>
      <c r="E68" s="66">
        <f>PERC_SUBSTITUTO_LICENCA_PATERNIDADE</f>
        <v>3.5673555555555549E-2</v>
      </c>
      <c r="F68" s="63">
        <f>PERC_SUBSTITUTO_LICENCA_PATERNIDADE%*(MOD_1_REMUNERACAO+MOD_2_ENCARGOS_BENEFICIOS+MOD_3_PROVISAO_RESCISAO)</f>
        <v>2.6748098180960866</v>
      </c>
    </row>
    <row r="69" spans="2:6" s="6" customFormat="1" ht="16.5" customHeight="1" x14ac:dyDescent="0.15">
      <c r="B69" s="33" t="s">
        <v>22</v>
      </c>
      <c r="C69" s="132" t="s">
        <v>238</v>
      </c>
      <c r="D69" s="132"/>
      <c r="E69" s="68">
        <f>PERC_SUBSTITUTO_ACID_TRAB</f>
        <v>1.85302229372558E-2</v>
      </c>
      <c r="F69" s="64">
        <f>PERC_SUBSTITUTO_ACID_TRAB%*(MOD_1_REMUNERACAO+MOD_2_ENCARGOS_BENEFICIOS+MOD_3_PROVISAO_RESCISAO)</f>
        <v>1.3893995558388414</v>
      </c>
    </row>
    <row r="70" spans="2:6" s="6" customFormat="1" ht="16.5" customHeight="1" x14ac:dyDescent="0.15">
      <c r="B70" s="33" t="s">
        <v>25</v>
      </c>
      <c r="C70" s="143" t="s">
        <v>240</v>
      </c>
      <c r="D70" s="143"/>
      <c r="E70" s="66">
        <f>PERC_SUBSTITUTO_AFAST_MATERN</f>
        <v>0.14312918399999999</v>
      </c>
      <c r="F70" s="63">
        <f>PERC_SUBSTITUTO_AFAST_MATERN%*(MOD_1_REMUNERACAO+MOD_2_ENCARGOS_BENEFICIOS+MOD_3_PROVISAO_RESCISAO)</f>
        <v>10.73185278722967</v>
      </c>
    </row>
    <row r="71" spans="2:6" s="6" customFormat="1" x14ac:dyDescent="0.15">
      <c r="B71" s="33" t="s">
        <v>90</v>
      </c>
      <c r="C71" s="160" t="str">
        <f>OUTRAS_AUSENCIAS_DESCRICAO</f>
        <v>Outras Ausências (Especificar - em %)</v>
      </c>
      <c r="D71" s="160"/>
      <c r="E71" s="88">
        <f>PERC_SUBSTITUTO_OUTRAS_AUSENCIAS</f>
        <v>0</v>
      </c>
      <c r="F71" s="64">
        <f>PERC_SUBSTITUTO_OUTRAS_AUSENCIAS%*(MOD_1_REMUNERACAO+MOD_2_ENCARGOS_BENEFICIOS+MOD_3_PROVISAO_RESCISAO)</f>
        <v>0</v>
      </c>
    </row>
    <row r="72" spans="2:6" s="6" customFormat="1" x14ac:dyDescent="0.3">
      <c r="B72" s="138" t="s">
        <v>225</v>
      </c>
      <c r="C72" s="138"/>
      <c r="D72" s="138"/>
      <c r="E72" s="138"/>
      <c r="F72" s="85">
        <f>SUM(F66:F71)</f>
        <v>806.2535772801391</v>
      </c>
    </row>
    <row r="73" spans="2:6" s="6" customFormat="1" ht="15" customHeight="1" x14ac:dyDescent="0.3">
      <c r="B73" s="31" t="s">
        <v>114</v>
      </c>
      <c r="C73" s="43"/>
      <c r="D73" s="44"/>
      <c r="E73" s="45"/>
      <c r="F73" s="45"/>
    </row>
    <row r="74" spans="2:6" s="6" customFormat="1" x14ac:dyDescent="0.15">
      <c r="B74" s="12" t="s">
        <v>115</v>
      </c>
      <c r="C74" s="138" t="s">
        <v>116</v>
      </c>
      <c r="D74" s="138"/>
      <c r="E74" s="138"/>
      <c r="F74" s="33" t="s">
        <v>122</v>
      </c>
    </row>
    <row r="75" spans="2:6" s="6" customFormat="1" ht="16.5" customHeight="1" x14ac:dyDescent="0.15">
      <c r="B75" s="12" t="s">
        <v>14</v>
      </c>
      <c r="C75" s="143" t="s">
        <v>257</v>
      </c>
      <c r="D75" s="143"/>
      <c r="E75" s="143"/>
      <c r="F75" s="82">
        <f>IF(DIAS_TRABALHADOS_NO_MES=15,((MOD_1_REMUNERACAO+MOD_2_ENCARGOS_BENEFICIOS+MOD_3_PROVISAO_RESCISAO)/DIVISOR_DE_HORAS)*((TEMPO_INTERVALO_REFEICAO/HORA_NORMAL)+PERC_HORA_EXTRA%)*DIAS_TRABALHADOS_NO_MES,0)</f>
        <v>0</v>
      </c>
    </row>
    <row r="76" spans="2:6" s="6" customFormat="1" x14ac:dyDescent="0.3">
      <c r="B76" s="138" t="s">
        <v>225</v>
      </c>
      <c r="C76" s="138"/>
      <c r="D76" s="138"/>
      <c r="E76" s="138"/>
      <c r="F76" s="85">
        <f>SUM(F75)</f>
        <v>0</v>
      </c>
    </row>
    <row r="77" spans="2:6" ht="7.5" customHeight="1" x14ac:dyDescent="0.3">
      <c r="B77" s="87"/>
      <c r="D77" s="23"/>
      <c r="E77" s="32"/>
      <c r="F77" s="32"/>
    </row>
    <row r="78" spans="2:6" x14ac:dyDescent="0.3">
      <c r="B78" s="31" t="s">
        <v>120</v>
      </c>
      <c r="C78" s="43"/>
      <c r="D78" s="43"/>
      <c r="E78" s="45"/>
      <c r="F78" s="45"/>
    </row>
    <row r="79" spans="2:6" ht="15.75" customHeight="1" x14ac:dyDescent="0.3">
      <c r="B79" s="46">
        <v>5</v>
      </c>
      <c r="C79" s="139" t="s">
        <v>121</v>
      </c>
      <c r="D79" s="139"/>
      <c r="E79" s="139"/>
      <c r="F79" s="47" t="s">
        <v>122</v>
      </c>
    </row>
    <row r="80" spans="2:6" ht="16.5" customHeight="1" x14ac:dyDescent="0.3">
      <c r="B80" s="48" t="s">
        <v>14</v>
      </c>
      <c r="C80" s="140" t="s">
        <v>258</v>
      </c>
      <c r="D80" s="140"/>
      <c r="E80" s="140"/>
      <c r="F80" s="89">
        <f>'INSERÇÃO-DE-DADOS'!F82</f>
        <v>181.86</v>
      </c>
    </row>
    <row r="81" spans="2:6" ht="16.5" customHeight="1" x14ac:dyDescent="0.3">
      <c r="B81" s="48" t="s">
        <v>16</v>
      </c>
      <c r="C81" s="141" t="s">
        <v>259</v>
      </c>
      <c r="D81" s="141"/>
      <c r="E81" s="141"/>
      <c r="F81" s="90">
        <f>MATERIAIS</f>
        <v>0</v>
      </c>
    </row>
    <row r="82" spans="2:6" ht="16.5" customHeight="1" x14ac:dyDescent="0.3">
      <c r="B82" s="48" t="s">
        <v>19</v>
      </c>
      <c r="C82" s="140" t="s">
        <v>260</v>
      </c>
      <c r="D82" s="140"/>
      <c r="E82" s="140"/>
      <c r="F82" s="89">
        <f>'INSERÇÃO-DE-DADOS'!F96</f>
        <v>39.950000000000003</v>
      </c>
    </row>
    <row r="83" spans="2:6" x14ac:dyDescent="0.3">
      <c r="B83" s="48" t="s">
        <v>22</v>
      </c>
      <c r="C83" s="161" t="str">
        <f>OUTROS_INSUMOS_DESCRICAO</f>
        <v>Outros (Especificar)</v>
      </c>
      <c r="D83" s="161"/>
      <c r="E83" s="161"/>
      <c r="F83" s="90">
        <f>OUTROS_INSUMOS</f>
        <v>0</v>
      </c>
    </row>
    <row r="84" spans="2:6" ht="16.5" customHeight="1" x14ac:dyDescent="0.3">
      <c r="B84" s="139" t="s">
        <v>225</v>
      </c>
      <c r="C84" s="139"/>
      <c r="D84" s="139"/>
      <c r="E84" s="139"/>
      <c r="F84" s="91">
        <f>SUM(F80:F83)</f>
        <v>221.81</v>
      </c>
    </row>
    <row r="85" spans="2:6" ht="7.5" customHeight="1" x14ac:dyDescent="0.3">
      <c r="B85" s="87"/>
      <c r="D85" s="23"/>
      <c r="E85" s="32"/>
      <c r="F85" s="32"/>
    </row>
    <row r="86" spans="2:6" ht="15" customHeight="1" x14ac:dyDescent="0.3">
      <c r="B86" s="142" t="s">
        <v>159</v>
      </c>
      <c r="C86" s="142"/>
      <c r="D86" s="142"/>
      <c r="E86" s="142"/>
      <c r="F86" s="142"/>
    </row>
    <row r="87" spans="2:6" x14ac:dyDescent="0.3">
      <c r="B87" s="12">
        <v>6</v>
      </c>
      <c r="C87" s="138" t="s">
        <v>160</v>
      </c>
      <c r="D87" s="138"/>
      <c r="E87" s="33" t="s">
        <v>112</v>
      </c>
      <c r="F87" s="33" t="s">
        <v>122</v>
      </c>
    </row>
    <row r="88" spans="2:6" ht="16.5" customHeight="1" x14ac:dyDescent="0.3">
      <c r="B88" s="12" t="s">
        <v>14</v>
      </c>
      <c r="C88" s="143" t="s">
        <v>161</v>
      </c>
      <c r="D88" s="143"/>
      <c r="E88" s="92">
        <f>PERC_CUSTOS_INDIRETOS</f>
        <v>4.7300000000000004</v>
      </c>
      <c r="F88" s="63">
        <f>PERC_CUSTOS_INDIRETOS%*(MOD_1_REMUNERACAO+MOD_2_ENCARGOS_BENEFICIOS+MOD_3_PROVISAO_RESCISAO+MOD_4_CUSTO_REPOSICAO+MOD_5_INSUMOS)</f>
        <v>403.28368529603222</v>
      </c>
    </row>
    <row r="89" spans="2:6" ht="15.75" customHeight="1" x14ac:dyDescent="0.3">
      <c r="B89" s="33" t="s">
        <v>16</v>
      </c>
      <c r="C89" s="132" t="s">
        <v>162</v>
      </c>
      <c r="D89" s="132"/>
      <c r="E89" s="93">
        <f>PERC_LUCRO</f>
        <v>5.45</v>
      </c>
      <c r="F89" s="64">
        <f>PERC_LUCRO%*(MOD_1_REMUNERACAO+MOD_2_ENCARGOS_BENEFICIOS+MOD_3_PROVISAO_RESCISAO+MOD_4_CUSTO_REPOSICAO+MOD_5_INSUMOS+AL_6_A_CUSTOS_INDIRETOS)</f>
        <v>486.6504375639351</v>
      </c>
    </row>
    <row r="90" spans="2:6" ht="16.5" customHeight="1" x14ac:dyDescent="0.3">
      <c r="B90" s="33" t="s">
        <v>19</v>
      </c>
      <c r="C90" s="143" t="s">
        <v>261</v>
      </c>
      <c r="D90" s="143"/>
      <c r="E90" s="92">
        <f>SUM(E91:E93)</f>
        <v>8.65</v>
      </c>
      <c r="F90" s="63">
        <f>SUM(F91:F93)</f>
        <v>891.60964080216058</v>
      </c>
    </row>
    <row r="91" spans="2:6" ht="15.75" customHeight="1" x14ac:dyDescent="0.3">
      <c r="B91" s="54" t="s">
        <v>163</v>
      </c>
      <c r="C91" s="162" t="s">
        <v>164</v>
      </c>
      <c r="D91" s="162"/>
      <c r="E91" s="94">
        <f>PERC_PIS</f>
        <v>0.65</v>
      </c>
      <c r="F91" s="95">
        <f>((MOD_1_REMUNERACAO+MOD_2_ENCARGOS_BENEFICIOS+MOD_3_PROVISAO_RESCISAO+MOD_4_CUSTO_REPOSICAO+MOD_5_INSUMOS+AL_6_A_CUSTOS_INDIRETOS+AL_6_B_LUCRO)*PERC_PIS%)/(1-PERC_TRIBUTOS%)</f>
        <v>66.99956838397739</v>
      </c>
    </row>
    <row r="92" spans="2:6" ht="16.5" customHeight="1" x14ac:dyDescent="0.3">
      <c r="B92" s="54" t="s">
        <v>165</v>
      </c>
      <c r="C92" s="163" t="s">
        <v>166</v>
      </c>
      <c r="D92" s="163"/>
      <c r="E92" s="96">
        <f>PERC_COFINS</f>
        <v>3</v>
      </c>
      <c r="F92" s="97">
        <f>((MOD_1_REMUNERACAO+MOD_2_ENCARGOS_BENEFICIOS+MOD_3_PROVISAO_RESCISAO+MOD_4_CUSTO_REPOSICAO+MOD_5_INSUMOS+AL_6_A_CUSTOS_INDIRETOS+AL_6_B_LUCRO)*PERC_COFINS%)/(1-PERC_TRIBUTOS%)</f>
        <v>309.22877715681869</v>
      </c>
    </row>
    <row r="93" spans="2:6" s="50" customFormat="1" ht="16.5" customHeight="1" x14ac:dyDescent="0.3">
      <c r="B93" s="54" t="s">
        <v>167</v>
      </c>
      <c r="C93" s="162" t="s">
        <v>168</v>
      </c>
      <c r="D93" s="162"/>
      <c r="E93" s="94">
        <f>PERC_ISS</f>
        <v>5</v>
      </c>
      <c r="F93" s="95">
        <f>((MOD_1_REMUNERACAO+MOD_2_ENCARGOS_BENEFICIOS+MOD_3_PROVISAO_RESCISAO+MOD_4_CUSTO_REPOSICAO+MOD_5_INSUMOS+AL_6_A_CUSTOS_INDIRETOS+AL_6_B_LUCRO)*PERC_ISS%)/(1-PERC_TRIBUTOS%)</f>
        <v>515.38129526136447</v>
      </c>
    </row>
    <row r="94" spans="2:6" s="50" customFormat="1" x14ac:dyDescent="0.3">
      <c r="B94" s="138" t="s">
        <v>225</v>
      </c>
      <c r="C94" s="138"/>
      <c r="D94" s="138"/>
      <c r="E94" s="138"/>
      <c r="F94" s="98">
        <f>AL_6_A_CUSTOS_INDIRETOS+AL_6_B_LUCRO+AL_6_C_TRIBUTOS</f>
        <v>1781.543763662128</v>
      </c>
    </row>
    <row r="95" spans="2:6" s="50" customFormat="1" ht="20.25" x14ac:dyDescent="0.3">
      <c r="B95" s="99" t="s">
        <v>262</v>
      </c>
      <c r="C95" s="100"/>
      <c r="D95" s="100"/>
      <c r="E95" s="100"/>
      <c r="F95" s="101"/>
    </row>
    <row r="96" spans="2:6" s="51" customFormat="1" ht="16.5" customHeight="1" x14ac:dyDescent="0.3">
      <c r="B96" s="33" t="s">
        <v>263</v>
      </c>
      <c r="C96" s="133" t="s">
        <v>264</v>
      </c>
      <c r="D96" s="133"/>
      <c r="E96" s="133"/>
      <c r="F96" s="33" t="s">
        <v>265</v>
      </c>
    </row>
    <row r="97" spans="2:6" s="50" customFormat="1" ht="16.5" customHeight="1" x14ac:dyDescent="0.3">
      <c r="B97" s="12">
        <v>1</v>
      </c>
      <c r="C97" s="143" t="s">
        <v>70</v>
      </c>
      <c r="D97" s="143"/>
      <c r="E97" s="143"/>
      <c r="F97" s="63">
        <f>MOD_1_REMUNERACAO</f>
        <v>4220.33</v>
      </c>
    </row>
    <row r="98" spans="2:6" s="52" customFormat="1" ht="16.5" customHeight="1" x14ac:dyDescent="0.3">
      <c r="B98" s="33">
        <v>2</v>
      </c>
      <c r="C98" s="132" t="s">
        <v>266</v>
      </c>
      <c r="D98" s="132"/>
      <c r="E98" s="132"/>
      <c r="F98" s="64">
        <f>MOD_2_ENCARGOS_BENEFICIOS</f>
        <v>3172.7815999999998</v>
      </c>
    </row>
    <row r="99" spans="2:6" s="52" customFormat="1" ht="16.5" customHeight="1" x14ac:dyDescent="0.3">
      <c r="B99" s="33">
        <v>3</v>
      </c>
      <c r="C99" s="143" t="s">
        <v>186</v>
      </c>
      <c r="D99" s="143"/>
      <c r="E99" s="143"/>
      <c r="F99" s="63">
        <f>MOD_3_PROVISAO_RESCISAO</f>
        <v>104.90696428502393</v>
      </c>
    </row>
    <row r="100" spans="2:6" s="52" customFormat="1" ht="16.5" customHeight="1" x14ac:dyDescent="0.3">
      <c r="B100" s="33">
        <v>4</v>
      </c>
      <c r="C100" s="132" t="s">
        <v>267</v>
      </c>
      <c r="D100" s="132"/>
      <c r="E100" s="132"/>
      <c r="F100" s="64">
        <f>MOD_4_CUSTO_REPOSICAO</f>
        <v>806.2535772801391</v>
      </c>
    </row>
    <row r="101" spans="2:6" s="52" customFormat="1" ht="16.5" customHeight="1" x14ac:dyDescent="0.3">
      <c r="B101" s="33">
        <v>5</v>
      </c>
      <c r="C101" s="143" t="s">
        <v>121</v>
      </c>
      <c r="D101" s="143"/>
      <c r="E101" s="143"/>
      <c r="F101" s="63">
        <f>MOD_5_INSUMOS</f>
        <v>221.81</v>
      </c>
    </row>
    <row r="102" spans="2:6" s="52" customFormat="1" ht="16.5" customHeight="1" x14ac:dyDescent="0.3">
      <c r="B102" s="33">
        <v>6</v>
      </c>
      <c r="C102" s="132" t="s">
        <v>160</v>
      </c>
      <c r="D102" s="132"/>
      <c r="E102" s="132"/>
      <c r="F102" s="64">
        <f>MOD_6_CUSTOS_IND_LUCRO_TRIB</f>
        <v>1781.543763662128</v>
      </c>
    </row>
    <row r="103" spans="2:6" ht="16.5" customHeight="1" x14ac:dyDescent="0.3">
      <c r="B103" s="133" t="s">
        <v>268</v>
      </c>
      <c r="C103" s="133"/>
      <c r="D103" s="133"/>
      <c r="E103" s="133"/>
      <c r="F103" s="98">
        <f>SUM(F97:F102)-0.01</f>
        <v>10307.615905227291</v>
      </c>
    </row>
    <row r="104" spans="2:6" ht="16.5" customHeight="1" x14ac:dyDescent="0.3">
      <c r="B104" s="133" t="s">
        <v>269</v>
      </c>
      <c r="C104" s="133"/>
      <c r="D104" s="133"/>
      <c r="E104" s="133"/>
      <c r="F104" s="98">
        <f>VALOR_TOTAL_EMPREGADO*EMPREG_POR_POSTO</f>
        <v>10307.615905227291</v>
      </c>
    </row>
    <row r="105" spans="2:6" ht="16.5" customHeight="1" x14ac:dyDescent="0.3">
      <c r="B105" s="133" t="s">
        <v>270</v>
      </c>
      <c r="C105" s="133"/>
      <c r="D105" s="133"/>
      <c r="E105" s="133"/>
      <c r="F105" s="98">
        <f>VALOR_TOTAL_EMPREGADO*EMPREG_POR_POSTO*'INSERÇÃO-DE-DADOS'!F22</f>
        <v>10307.615905227291</v>
      </c>
    </row>
    <row r="107" spans="2:6" x14ac:dyDescent="0.3">
      <c r="B107" s="4" t="s">
        <v>271</v>
      </c>
    </row>
  </sheetData>
  <mergeCells count="93">
    <mergeCell ref="C102:E102"/>
    <mergeCell ref="B103:E103"/>
    <mergeCell ref="B104:E104"/>
    <mergeCell ref="B105:E105"/>
    <mergeCell ref="C96:E96"/>
    <mergeCell ref="C97:E97"/>
    <mergeCell ref="C98:E98"/>
    <mergeCell ref="C99:E99"/>
    <mergeCell ref="C100:E100"/>
    <mergeCell ref="C101:E101"/>
    <mergeCell ref="B94:E94"/>
    <mergeCell ref="C82:E82"/>
    <mergeCell ref="C83:E83"/>
    <mergeCell ref="B84:E84"/>
    <mergeCell ref="B86:F86"/>
    <mergeCell ref="C87:D87"/>
    <mergeCell ref="C88:D88"/>
    <mergeCell ref="C89:D89"/>
    <mergeCell ref="C90:D90"/>
    <mergeCell ref="C91:D91"/>
    <mergeCell ref="C92:D92"/>
    <mergeCell ref="C93:D93"/>
    <mergeCell ref="C81:E81"/>
    <mergeCell ref="C67:D67"/>
    <mergeCell ref="C68:D68"/>
    <mergeCell ref="C69:D69"/>
    <mergeCell ref="C70:D70"/>
    <mergeCell ref="C71:D71"/>
    <mergeCell ref="B72:E72"/>
    <mergeCell ref="C74:E74"/>
    <mergeCell ref="C75:E75"/>
    <mergeCell ref="B76:E76"/>
    <mergeCell ref="C79:E79"/>
    <mergeCell ref="C80:E80"/>
    <mergeCell ref="C66:D66"/>
    <mergeCell ref="C51:E51"/>
    <mergeCell ref="C52:E52"/>
    <mergeCell ref="C53:E53"/>
    <mergeCell ref="C54:E54"/>
    <mergeCell ref="B55:E55"/>
    <mergeCell ref="C57:D57"/>
    <mergeCell ref="C58:D58"/>
    <mergeCell ref="C59:D59"/>
    <mergeCell ref="C60:D60"/>
    <mergeCell ref="B61:E61"/>
    <mergeCell ref="C65:D65"/>
    <mergeCell ref="C50:E50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B47:E47"/>
    <mergeCell ref="C49:E49"/>
    <mergeCell ref="B37:F37"/>
    <mergeCell ref="C24:E24"/>
    <mergeCell ref="C25:E25"/>
    <mergeCell ref="C26:E26"/>
    <mergeCell ref="C27:E27"/>
    <mergeCell ref="C28:E28"/>
    <mergeCell ref="C29:E29"/>
    <mergeCell ref="B30:E30"/>
    <mergeCell ref="C33:D33"/>
    <mergeCell ref="C34:D34"/>
    <mergeCell ref="C35:D35"/>
    <mergeCell ref="B36:E36"/>
    <mergeCell ref="C23:E23"/>
    <mergeCell ref="C11:E11"/>
    <mergeCell ref="C12:E12"/>
    <mergeCell ref="D15:F15"/>
    <mergeCell ref="D16:F16"/>
    <mergeCell ref="D14:F14"/>
    <mergeCell ref="C17:E17"/>
    <mergeCell ref="B18:F18"/>
    <mergeCell ref="B19:E19"/>
    <mergeCell ref="C21:E21"/>
    <mergeCell ref="C22:E22"/>
    <mergeCell ref="C10:E10"/>
    <mergeCell ref="B1:F1"/>
    <mergeCell ref="B2:D2"/>
    <mergeCell ref="B3:F3"/>
    <mergeCell ref="B4:F4"/>
    <mergeCell ref="B5:C5"/>
    <mergeCell ref="D5:F5"/>
    <mergeCell ref="B6:C6"/>
    <mergeCell ref="D6:E6"/>
    <mergeCell ref="B7:F7"/>
    <mergeCell ref="C8:E8"/>
    <mergeCell ref="D9:F9"/>
  </mergeCells>
  <pageMargins left="0.511811024" right="0.511811024" top="0.78740157499999996" bottom="0.78740157499999996" header="0.31496062000000002" footer="0.31496062000000002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F8244-DA34-4D7E-BF06-3E74D8027C1D}">
  <sheetPr>
    <pageSetUpPr fitToPage="1"/>
  </sheetPr>
  <dimension ref="A1:AMJ107"/>
  <sheetViews>
    <sheetView topLeftCell="A83" workbookViewId="0">
      <selection activeCell="D15" sqref="D15:F15"/>
    </sheetView>
  </sheetViews>
  <sheetFormatPr defaultColWidth="9.140625" defaultRowHeight="16.5" x14ac:dyDescent="0.3"/>
  <cols>
    <col min="1" max="1" width="2.7109375" style="4" customWidth="1"/>
    <col min="2" max="2" width="8.85546875" style="4" customWidth="1"/>
    <col min="3" max="3" width="54.85546875" style="4" customWidth="1"/>
    <col min="4" max="4" width="7.85546875" style="4" customWidth="1"/>
    <col min="5" max="5" width="13.5703125" style="4" customWidth="1"/>
    <col min="6" max="6" width="15.42578125" style="4" customWidth="1"/>
    <col min="7" max="1024" width="9.140625" style="4"/>
  </cols>
  <sheetData>
    <row r="1" spans="2:6" ht="20.25" x14ac:dyDescent="0.35">
      <c r="B1" s="150" t="str">
        <f>RAMO</f>
        <v>RAMO: ESCOLA SUPERIOR DO MINISTÉRIO PÚBLICO DA UNIÃO</v>
      </c>
      <c r="C1" s="150"/>
      <c r="D1" s="150"/>
      <c r="E1" s="150"/>
      <c r="F1" s="150"/>
    </row>
    <row r="2" spans="2:6" ht="20.25" x14ac:dyDescent="0.35">
      <c r="B2" s="151" t="str">
        <f>UG</f>
        <v>UNIDADE GESTORA (SIGLA): ESMPU</v>
      </c>
      <c r="C2" s="151"/>
      <c r="D2" s="151"/>
      <c r="E2" s="71" t="s">
        <v>2</v>
      </c>
      <c r="F2" s="72">
        <f>DATA_DO_ORCAMENTO_ESTIMATIVO</f>
        <v>45702</v>
      </c>
    </row>
    <row r="3" spans="2:6" s="6" customFormat="1" ht="25.5" x14ac:dyDescent="0.5">
      <c r="B3" s="124" t="s">
        <v>243</v>
      </c>
      <c r="C3" s="124"/>
      <c r="D3" s="124"/>
      <c r="E3" s="124"/>
      <c r="F3" s="124"/>
    </row>
    <row r="4" spans="2:6" s="6" customFormat="1" ht="15.95" customHeight="1" x14ac:dyDescent="0.3">
      <c r="B4" s="125" t="s">
        <v>4</v>
      </c>
      <c r="C4" s="125"/>
      <c r="D4" s="125"/>
      <c r="E4" s="125"/>
      <c r="F4" s="125"/>
    </row>
    <row r="5" spans="2:6" s="6" customFormat="1" ht="15.95" customHeight="1" x14ac:dyDescent="0.3">
      <c r="B5" s="126" t="s">
        <v>244</v>
      </c>
      <c r="C5" s="126"/>
      <c r="D5" s="152" t="str">
        <f>NUMERO_PROCESSO</f>
        <v>0.01.000.1.003277/2024-10</v>
      </c>
      <c r="E5" s="152"/>
      <c r="F5" s="152"/>
    </row>
    <row r="6" spans="2:6" s="6" customFormat="1" ht="15.75" customHeight="1" x14ac:dyDescent="0.3">
      <c r="B6" s="128" t="s">
        <v>245</v>
      </c>
      <c r="C6" s="128"/>
      <c r="D6" s="153" t="str">
        <f>MODALIDADE_DE_LICITACAO</f>
        <v>Pregão nº</v>
      </c>
      <c r="E6" s="153"/>
      <c r="F6" s="73" t="str">
        <f>NUMERO_PREGAO</f>
        <v>XX/20XX</v>
      </c>
    </row>
    <row r="7" spans="2:6" s="6" customFormat="1" ht="15.75" customHeight="1" x14ac:dyDescent="0.3">
      <c r="B7" s="154" t="s">
        <v>246</v>
      </c>
      <c r="C7" s="154"/>
      <c r="D7" s="154"/>
      <c r="E7" s="154"/>
      <c r="F7" s="154"/>
    </row>
    <row r="8" spans="2:6" s="6" customFormat="1" ht="18" customHeight="1" x14ac:dyDescent="0.3">
      <c r="B8" s="10" t="s">
        <v>14</v>
      </c>
      <c r="C8" s="126" t="s">
        <v>15</v>
      </c>
      <c r="D8" s="126"/>
      <c r="E8" s="126"/>
      <c r="F8" s="74" t="str">
        <f>DATA_APRESENTACAO_PROPOSTA</f>
        <v>XX/XX/20XX</v>
      </c>
    </row>
    <row r="9" spans="2:6" s="6" customFormat="1" ht="15.95" customHeight="1" x14ac:dyDescent="0.15">
      <c r="B9" s="12" t="s">
        <v>16</v>
      </c>
      <c r="C9" s="13" t="s">
        <v>17</v>
      </c>
      <c r="D9" s="145" t="str">
        <f>IF(LOCAL_DE_EXECUCAO="","",LOCAL_DE_EXECUCAO)</f>
        <v>SEDE DA ESMPU</v>
      </c>
      <c r="E9" s="145"/>
      <c r="F9" s="145"/>
    </row>
    <row r="10" spans="2:6" s="6" customFormat="1" ht="18.75" customHeight="1" x14ac:dyDescent="0.3">
      <c r="B10" s="10" t="s">
        <v>19</v>
      </c>
      <c r="C10" s="126" t="s">
        <v>23</v>
      </c>
      <c r="D10" s="126"/>
      <c r="E10" s="126"/>
      <c r="F10" s="75" t="str">
        <f>ACORDO_COLETIVO</f>
        <v>01/2025</v>
      </c>
    </row>
    <row r="11" spans="2:6" s="6" customFormat="1" ht="15.95" customHeight="1" x14ac:dyDescent="0.3">
      <c r="B11" s="12" t="s">
        <v>22</v>
      </c>
      <c r="C11" s="145" t="s">
        <v>26</v>
      </c>
      <c r="D11" s="145"/>
      <c r="E11" s="145"/>
      <c r="F11" s="40">
        <f>NUMERO_MESES_EXEC_CONTRATUAL</f>
        <v>12</v>
      </c>
    </row>
    <row r="12" spans="2:6" s="6" customFormat="1" x14ac:dyDescent="0.3">
      <c r="B12" s="12" t="s">
        <v>25</v>
      </c>
      <c r="C12" s="155" t="s">
        <v>247</v>
      </c>
      <c r="D12" s="155"/>
      <c r="E12" s="155"/>
      <c r="F12" s="15">
        <f>'INSERÇÃO-DE-DADOS'!F23</f>
        <v>2</v>
      </c>
    </row>
    <row r="13" spans="2:6" s="76" customFormat="1" ht="15" customHeight="1" x14ac:dyDescent="0.2">
      <c r="B13" s="77" t="s">
        <v>68</v>
      </c>
      <c r="C13" s="78"/>
      <c r="D13" s="78"/>
      <c r="E13" s="78"/>
      <c r="F13" s="78"/>
    </row>
    <row r="14" spans="2:6" s="6" customFormat="1" x14ac:dyDescent="0.3">
      <c r="B14" s="10">
        <v>1</v>
      </c>
      <c r="C14" s="24" t="s">
        <v>248</v>
      </c>
      <c r="D14" s="165" t="str">
        <f>'INSERÇÃO-DE-DADOS'!C23</f>
        <v>Garçom</v>
      </c>
      <c r="E14" s="166"/>
      <c r="F14" s="167"/>
    </row>
    <row r="15" spans="2:6" s="6" customFormat="1" x14ac:dyDescent="0.3">
      <c r="B15" s="10">
        <v>2</v>
      </c>
      <c r="C15" s="25" t="s">
        <v>249</v>
      </c>
      <c r="D15" s="152" t="str">
        <f>'INSERÇÃO-DE-DADOS'!D33</f>
        <v>5134-05</v>
      </c>
      <c r="E15" s="152"/>
      <c r="F15" s="152"/>
    </row>
    <row r="16" spans="2:6" s="6" customFormat="1" ht="15" customHeight="1" x14ac:dyDescent="0.3">
      <c r="B16" s="10">
        <v>3</v>
      </c>
      <c r="C16" s="24" t="s">
        <v>64</v>
      </c>
      <c r="D16" s="152" t="str">
        <f>IF(CATEGORIA_PROFISSIONAL="","",CATEGORIA_PROFISSIONAL)</f>
        <v>Apoio Administrativo</v>
      </c>
      <c r="E16" s="152"/>
      <c r="F16" s="152"/>
    </row>
    <row r="17" spans="2:6" s="6" customFormat="1" ht="15" customHeight="1" x14ac:dyDescent="0.3">
      <c r="B17" s="10">
        <v>4</v>
      </c>
      <c r="C17" s="128" t="s">
        <v>66</v>
      </c>
      <c r="D17" s="128"/>
      <c r="E17" s="128"/>
      <c r="F17" s="79">
        <f>DATA_BASE_CATEGORIA</f>
        <v>45658</v>
      </c>
    </row>
    <row r="18" spans="2:6" s="80" customFormat="1" ht="20.25" customHeight="1" x14ac:dyDescent="0.3">
      <c r="B18" s="157" t="s">
        <v>250</v>
      </c>
      <c r="C18" s="157"/>
      <c r="D18" s="157"/>
      <c r="E18" s="157"/>
      <c r="F18" s="157"/>
    </row>
    <row r="19" spans="2:6" x14ac:dyDescent="0.3">
      <c r="B19" s="138" t="s">
        <v>251</v>
      </c>
      <c r="C19" s="138"/>
      <c r="D19" s="138"/>
      <c r="E19" s="138"/>
      <c r="F19" s="81">
        <f>IF(EMPREG_POR_POSTO="","",EMPREG_POR_POSTO)</f>
        <v>1</v>
      </c>
    </row>
    <row r="20" spans="2:6" x14ac:dyDescent="0.3">
      <c r="B20" s="31" t="s">
        <v>69</v>
      </c>
      <c r="E20" s="32"/>
      <c r="F20" s="32"/>
    </row>
    <row r="21" spans="2:6" ht="16.5" customHeight="1" x14ac:dyDescent="0.3">
      <c r="B21" s="12">
        <v>1</v>
      </c>
      <c r="C21" s="133" t="s">
        <v>70</v>
      </c>
      <c r="D21" s="133"/>
      <c r="E21" s="133"/>
      <c r="F21" s="33" t="s">
        <v>122</v>
      </c>
    </row>
    <row r="22" spans="2:6" ht="16.5" customHeight="1" x14ac:dyDescent="0.3">
      <c r="B22" s="12" t="s">
        <v>14</v>
      </c>
      <c r="C22" s="134" t="s">
        <v>252</v>
      </c>
      <c r="D22" s="134"/>
      <c r="E22" s="134"/>
      <c r="F22" s="82">
        <f>'INSERÇÃO-DE-DADOS'!F47</f>
        <v>2574.37</v>
      </c>
    </row>
    <row r="23" spans="2:6" ht="16.5" customHeight="1" x14ac:dyDescent="0.3">
      <c r="B23" s="12" t="s">
        <v>16</v>
      </c>
      <c r="C23" s="132" t="s">
        <v>253</v>
      </c>
      <c r="D23" s="132"/>
      <c r="E23" s="132"/>
      <c r="F23" s="83">
        <f>PERC_ADIC_PERIC%*SALARIO_BASE</f>
        <v>0</v>
      </c>
    </row>
    <row r="24" spans="2:6" ht="15.75" customHeight="1" x14ac:dyDescent="0.3">
      <c r="B24" s="12" t="s">
        <v>19</v>
      </c>
      <c r="C24" s="159" t="s">
        <v>254</v>
      </c>
      <c r="D24" s="159"/>
      <c r="E24" s="159"/>
      <c r="F24" s="82">
        <f>((AL_1_A_SAL_BASE+AL_1_B_ADIC_PERIC)/DIVISOR_DE_HORAS)*DIAS_NA_SEMANA*MEDIA_ANUAL_DIAS_TRABALHO_MES*PERC_ADIC_NOT%</f>
        <v>0</v>
      </c>
    </row>
    <row r="25" spans="2:6" ht="15.75" customHeight="1" x14ac:dyDescent="0.3">
      <c r="B25" s="12" t="s">
        <v>22</v>
      </c>
      <c r="C25" s="132" t="s">
        <v>255</v>
      </c>
      <c r="D25" s="132"/>
      <c r="E25" s="132"/>
      <c r="F25" s="83">
        <f>((AL_1_A_SAL_BASE+AL_1_B_ADIC_PERIC)/DIVISOR_DE_HORAS)*((HORA_NORMAL-HORA_NOTURNA)/HORA_NOTURNA)*DIAS_NA_SEMANA*MEDIA_ANUAL_DIAS_TRABALHO_MES*PERC_ADIC_NOT%</f>
        <v>0</v>
      </c>
    </row>
    <row r="26" spans="2:6" ht="15.75" customHeight="1" x14ac:dyDescent="0.3">
      <c r="B26" s="12" t="s">
        <v>25</v>
      </c>
      <c r="C26" s="143" t="s">
        <v>256</v>
      </c>
      <c r="D26" s="143"/>
      <c r="E26" s="143"/>
      <c r="F26" s="82">
        <f>PERC_ADIC_INS%*SAL_MINIMO</f>
        <v>0</v>
      </c>
    </row>
    <row r="27" spans="2:6" x14ac:dyDescent="0.3">
      <c r="B27" s="12" t="s">
        <v>90</v>
      </c>
      <c r="C27" s="135" t="str">
        <f>OUTROS_REMUNERACAO_1_DESCRICAO</f>
        <v>Outras Remunerações 1 (Especificar)</v>
      </c>
      <c r="D27" s="135"/>
      <c r="E27" s="135"/>
      <c r="F27" s="83">
        <f>OUTROS_REMUNERACAO_1</f>
        <v>0</v>
      </c>
    </row>
    <row r="28" spans="2:6" x14ac:dyDescent="0.3">
      <c r="B28" s="12" t="s">
        <v>92</v>
      </c>
      <c r="C28" s="134" t="str">
        <f>OUTROS_REMUNERACAO_2_DESCRICAO</f>
        <v>Outras Remunerações 2 (Especificar)</v>
      </c>
      <c r="D28" s="134"/>
      <c r="E28" s="134"/>
      <c r="F28" s="82">
        <f>OUTROS_REMUNERACAO_2</f>
        <v>0</v>
      </c>
    </row>
    <row r="29" spans="2:6" x14ac:dyDescent="0.3">
      <c r="B29" s="12" t="s">
        <v>200</v>
      </c>
      <c r="C29" s="135" t="str">
        <f>OUTROS_REMUNERACAO_3_DESCRICAO</f>
        <v>Outras Remunerações 3 (Especificar)</v>
      </c>
      <c r="D29" s="135"/>
      <c r="E29" s="135"/>
      <c r="F29" s="83">
        <f>OUTROS_REMUNERACAO_3</f>
        <v>0</v>
      </c>
    </row>
    <row r="30" spans="2:6" ht="16.5" customHeight="1" x14ac:dyDescent="0.3">
      <c r="B30" s="133" t="s">
        <v>225</v>
      </c>
      <c r="C30" s="133"/>
      <c r="D30" s="133"/>
      <c r="E30" s="133"/>
      <c r="F30" s="84">
        <f>SUM(F22:F29)</f>
        <v>2574.37</v>
      </c>
    </row>
    <row r="31" spans="2:6" x14ac:dyDescent="0.3">
      <c r="B31" s="31" t="s">
        <v>94</v>
      </c>
      <c r="E31" s="37"/>
      <c r="F31" s="37"/>
    </row>
    <row r="32" spans="2:6" x14ac:dyDescent="0.3">
      <c r="B32" s="31" t="s">
        <v>206</v>
      </c>
      <c r="C32" s="43"/>
      <c r="D32" s="44"/>
      <c r="E32" s="45"/>
      <c r="F32" s="45"/>
    </row>
    <row r="33" spans="2:6" x14ac:dyDescent="0.3">
      <c r="B33" s="12" t="s">
        <v>207</v>
      </c>
      <c r="C33" s="138" t="s">
        <v>208</v>
      </c>
      <c r="D33" s="138"/>
      <c r="E33" s="33" t="s">
        <v>112</v>
      </c>
      <c r="F33" s="33" t="s">
        <v>122</v>
      </c>
    </row>
    <row r="34" spans="2:6" ht="16.5" customHeight="1" x14ac:dyDescent="0.3">
      <c r="B34" s="12" t="s">
        <v>14</v>
      </c>
      <c r="C34" s="143" t="s">
        <v>210</v>
      </c>
      <c r="D34" s="143"/>
      <c r="E34" s="66">
        <f>PERC_DEC_TERC</f>
        <v>8.3333333333333321</v>
      </c>
      <c r="F34" s="63">
        <f>PERC_DEC_TERC%*MOD_1_REMUNERACAO</f>
        <v>214.53083333333328</v>
      </c>
    </row>
    <row r="35" spans="2:6" ht="16.5" customHeight="1" x14ac:dyDescent="0.3">
      <c r="B35" s="33" t="s">
        <v>16</v>
      </c>
      <c r="C35" s="132" t="s">
        <v>212</v>
      </c>
      <c r="D35" s="132"/>
      <c r="E35" s="67">
        <f>PERC_ADIC_FERIAS</f>
        <v>2.7777777777777777</v>
      </c>
      <c r="F35" s="64">
        <f>PERC_ADIC_FERIAS%*MOD_1_REMUNERACAO</f>
        <v>71.510277777777773</v>
      </c>
    </row>
    <row r="36" spans="2:6" s="36" customFormat="1" x14ac:dyDescent="0.3">
      <c r="B36" s="138" t="s">
        <v>225</v>
      </c>
      <c r="C36" s="138"/>
      <c r="D36" s="138"/>
      <c r="E36" s="138"/>
      <c r="F36" s="85">
        <f>SUM(F34:F35)</f>
        <v>286.04111111111104</v>
      </c>
    </row>
    <row r="37" spans="2:6" s="36" customFormat="1" ht="31.5" customHeight="1" x14ac:dyDescent="0.3">
      <c r="B37" s="158" t="s">
        <v>214</v>
      </c>
      <c r="C37" s="158"/>
      <c r="D37" s="158"/>
      <c r="E37" s="158"/>
      <c r="F37" s="158"/>
    </row>
    <row r="38" spans="2:6" s="36" customFormat="1" ht="34.5" customHeight="1" x14ac:dyDescent="0.3">
      <c r="B38" s="12" t="s">
        <v>215</v>
      </c>
      <c r="C38" s="147" t="s">
        <v>216</v>
      </c>
      <c r="D38" s="147"/>
      <c r="E38" s="33" t="s">
        <v>112</v>
      </c>
      <c r="F38" s="33" t="s">
        <v>122</v>
      </c>
    </row>
    <row r="39" spans="2:6" ht="16.5" customHeight="1" x14ac:dyDescent="0.3">
      <c r="B39" s="12" t="s">
        <v>14</v>
      </c>
      <c r="C39" s="143" t="s">
        <v>217</v>
      </c>
      <c r="D39" s="143"/>
      <c r="E39" s="66">
        <f>PERC_INSS</f>
        <v>20</v>
      </c>
      <c r="F39" s="63">
        <f>PERC_INSS%*(MOD_1_REMUNERACAO+SUBMOD_2_1_DEC_TERC_ADIC_FERIAS)</f>
        <v>572.08222222222219</v>
      </c>
    </row>
    <row r="40" spans="2:6" s="6" customFormat="1" ht="16.5" customHeight="1" x14ac:dyDescent="0.15">
      <c r="B40" s="33" t="s">
        <v>16</v>
      </c>
      <c r="C40" s="132" t="s">
        <v>218</v>
      </c>
      <c r="D40" s="132"/>
      <c r="E40" s="68">
        <f>PERC_SAL_EDUCACAO</f>
        <v>2.5</v>
      </c>
      <c r="F40" s="64">
        <f>PERC_SAL_EDUCACAO%*(MOD_1_REMUNERACAO+SUBMOD_2_1_DEC_TERC_ADIC_FERIAS)</f>
        <v>71.510277777777773</v>
      </c>
    </row>
    <row r="41" spans="2:6" s="6" customFormat="1" ht="16.5" customHeight="1" x14ac:dyDescent="0.15">
      <c r="B41" s="33" t="s">
        <v>19</v>
      </c>
      <c r="C41" s="143" t="s">
        <v>219</v>
      </c>
      <c r="D41" s="143"/>
      <c r="E41" s="66">
        <f>PERC_RAT</f>
        <v>3</v>
      </c>
      <c r="F41" s="63">
        <f>PERC_RAT%*(MOD_1_REMUNERACAO+SUBMOD_2_1_DEC_TERC_ADIC_FERIAS)</f>
        <v>85.812333333333328</v>
      </c>
    </row>
    <row r="42" spans="2:6" s="6" customFormat="1" ht="16.5" customHeight="1" x14ac:dyDescent="0.15">
      <c r="B42" s="33" t="s">
        <v>22</v>
      </c>
      <c r="C42" s="132" t="s">
        <v>220</v>
      </c>
      <c r="D42" s="132"/>
      <c r="E42" s="67">
        <f>PERC_SESC</f>
        <v>1.5</v>
      </c>
      <c r="F42" s="64">
        <f>PERC_SESC%*(MOD_1_REMUNERACAO+SUBMOD_2_1_DEC_TERC_ADIC_FERIAS)</f>
        <v>42.906166666666664</v>
      </c>
    </row>
    <row r="43" spans="2:6" s="6" customFormat="1" ht="16.5" customHeight="1" x14ac:dyDescent="0.15">
      <c r="B43" s="33" t="s">
        <v>25</v>
      </c>
      <c r="C43" s="143" t="s">
        <v>221</v>
      </c>
      <c r="D43" s="143"/>
      <c r="E43" s="66">
        <f>PERC_SENAC</f>
        <v>1</v>
      </c>
      <c r="F43" s="63">
        <f>PERC_SENAC%*(MOD_1_REMUNERACAO+SUBMOD_2_1_DEC_TERC_ADIC_FERIAS)</f>
        <v>28.604111111111109</v>
      </c>
    </row>
    <row r="44" spans="2:6" s="6" customFormat="1" ht="16.5" customHeight="1" x14ac:dyDescent="0.15">
      <c r="B44" s="33" t="s">
        <v>90</v>
      </c>
      <c r="C44" s="132" t="s">
        <v>222</v>
      </c>
      <c r="D44" s="132"/>
      <c r="E44" s="68">
        <f>PERC_SEBRAE</f>
        <v>0.6</v>
      </c>
      <c r="F44" s="64">
        <f>PERC_SEBRAE%*(MOD_1_REMUNERACAO+SUBMOD_2_1_DEC_TERC_ADIC_FERIAS)</f>
        <v>17.162466666666667</v>
      </c>
    </row>
    <row r="45" spans="2:6" s="6" customFormat="1" ht="16.5" customHeight="1" x14ac:dyDescent="0.15">
      <c r="B45" s="33" t="s">
        <v>92</v>
      </c>
      <c r="C45" s="143" t="s">
        <v>223</v>
      </c>
      <c r="D45" s="143"/>
      <c r="E45" s="66">
        <f>PERC_INCRA</f>
        <v>0.2</v>
      </c>
      <c r="F45" s="63">
        <f>PERC_INCRA%*(MOD_1_REMUNERACAO+SUBMOD_2_1_DEC_TERC_ADIC_FERIAS)</f>
        <v>5.720822222222222</v>
      </c>
    </row>
    <row r="46" spans="2:6" ht="16.5" customHeight="1" x14ac:dyDescent="0.3">
      <c r="B46" s="33" t="s">
        <v>200</v>
      </c>
      <c r="C46" s="132" t="s">
        <v>224</v>
      </c>
      <c r="D46" s="132"/>
      <c r="E46" s="68">
        <f>PERC_FGTS</f>
        <v>8</v>
      </c>
      <c r="F46" s="64">
        <f>PERC_FGTS%*(MOD_1_REMUNERACAO+SUBMOD_2_1_DEC_TERC_ADIC_FERIAS)</f>
        <v>228.83288888888887</v>
      </c>
    </row>
    <row r="47" spans="2:6" x14ac:dyDescent="0.3">
      <c r="B47" s="138" t="s">
        <v>225</v>
      </c>
      <c r="C47" s="138"/>
      <c r="D47" s="138"/>
      <c r="E47" s="138"/>
      <c r="F47" s="86">
        <f>SUM(F39:F46)</f>
        <v>1052.6312888888888</v>
      </c>
    </row>
    <row r="48" spans="2:6" ht="15.75" customHeight="1" x14ac:dyDescent="0.3">
      <c r="B48" s="31" t="s">
        <v>95</v>
      </c>
      <c r="C48" s="6"/>
      <c r="D48" s="6"/>
      <c r="E48" s="6"/>
      <c r="F48" s="6"/>
    </row>
    <row r="49" spans="2:6" ht="15.75" customHeight="1" x14ac:dyDescent="0.3">
      <c r="B49" s="12" t="s">
        <v>96</v>
      </c>
      <c r="C49" s="133" t="s">
        <v>97</v>
      </c>
      <c r="D49" s="133"/>
      <c r="E49" s="133"/>
      <c r="F49" s="33" t="s">
        <v>122</v>
      </c>
    </row>
    <row r="50" spans="2:6" ht="16.5" customHeight="1" x14ac:dyDescent="0.3">
      <c r="B50" s="10" t="s">
        <v>14</v>
      </c>
      <c r="C50" s="143" t="s">
        <v>100</v>
      </c>
      <c r="D50" s="143"/>
      <c r="E50" s="143"/>
      <c r="F50" s="63">
        <f>IF(((TRANSPORTE_POR_DIA*DIAS_TRABALHADOS_NO_MES)-(PERC_DESC_TRANSP_REMUNERACAO%*(AL_1_A_SAL_BASE)))&gt;0,((TRANSPORTE_POR_DIA*DIAS_TRABALHADOS_NO_MES)-(PERC_DESC_TRANSP_REMUNERACAO%*(AL_1_A_SAL_BASE))),0)</f>
        <v>87.537800000000004</v>
      </c>
    </row>
    <row r="51" spans="2:6" s="36" customFormat="1" ht="16.5" customHeight="1" x14ac:dyDescent="0.3">
      <c r="B51" s="10" t="s">
        <v>16</v>
      </c>
      <c r="C51" s="132" t="s">
        <v>102</v>
      </c>
      <c r="D51" s="132"/>
      <c r="E51" s="132"/>
      <c r="F51" s="64">
        <f>ALIMENTACAO_POR_DIA*DIAS_TRABALHADOS_NO_MES</f>
        <v>974.59999999999991</v>
      </c>
    </row>
    <row r="52" spans="2:6" s="36" customFormat="1" x14ac:dyDescent="0.3">
      <c r="B52" s="10" t="s">
        <v>19</v>
      </c>
      <c r="C52" s="134" t="str">
        <f>OUTROS_BENEFICIOS_1_DESCRICAO</f>
        <v>Assistência Funeral - Seguro de Vida Coletivo</v>
      </c>
      <c r="D52" s="134"/>
      <c r="E52" s="134"/>
      <c r="F52" s="63">
        <f>OUTROS_BENEFICIOS_1</f>
        <v>3.61</v>
      </c>
    </row>
    <row r="53" spans="2:6" s="36" customFormat="1" x14ac:dyDescent="0.3">
      <c r="B53" s="10" t="s">
        <v>22</v>
      </c>
      <c r="C53" s="135" t="str">
        <f>OUTROS_BENEFICIOS_2_DESCRICAO</f>
        <v>Outros Benefícios 2 (Especificar)</v>
      </c>
      <c r="D53" s="135"/>
      <c r="E53" s="135"/>
      <c r="F53" s="64">
        <f>OUTROS_BENEFICIOS_2</f>
        <v>0</v>
      </c>
    </row>
    <row r="54" spans="2:6" s="36" customFormat="1" x14ac:dyDescent="0.3">
      <c r="B54" s="10" t="s">
        <v>25</v>
      </c>
      <c r="C54" s="134" t="str">
        <f>OUTROS_BENEFICIOS_3_DESCRICAO</f>
        <v>Outros Benefícios 3 (Especificar)</v>
      </c>
      <c r="D54" s="134"/>
      <c r="E54" s="134"/>
      <c r="F54" s="63">
        <f>OUTROS_BENEFICIOS_3</f>
        <v>0</v>
      </c>
    </row>
    <row r="55" spans="2:6" s="36" customFormat="1" ht="15" customHeight="1" x14ac:dyDescent="0.3">
      <c r="B55" s="133" t="s">
        <v>225</v>
      </c>
      <c r="C55" s="133"/>
      <c r="D55" s="133"/>
      <c r="E55" s="133"/>
      <c r="F55" s="84">
        <f>SUM(F50:F54)</f>
        <v>1065.7477999999999</v>
      </c>
    </row>
    <row r="56" spans="2:6" s="36" customFormat="1" x14ac:dyDescent="0.3">
      <c r="B56" s="31" t="s">
        <v>185</v>
      </c>
      <c r="C56" s="43"/>
      <c r="D56" s="44"/>
      <c r="E56" s="45"/>
      <c r="F56" s="45"/>
    </row>
    <row r="57" spans="2:6" s="36" customFormat="1" ht="15" customHeight="1" x14ac:dyDescent="0.3">
      <c r="B57" s="12">
        <v>3</v>
      </c>
      <c r="C57" s="138" t="s">
        <v>186</v>
      </c>
      <c r="D57" s="138"/>
      <c r="E57" s="33" t="s">
        <v>112</v>
      </c>
      <c r="F57" s="33" t="s">
        <v>122</v>
      </c>
    </row>
    <row r="58" spans="2:6" s="36" customFormat="1" x14ac:dyDescent="0.3">
      <c r="B58" s="12" t="s">
        <v>14</v>
      </c>
      <c r="C58" s="148" t="s">
        <v>226</v>
      </c>
      <c r="D58" s="148"/>
      <c r="E58" s="66">
        <f>PERC_AVISO_PREVIO_IND</f>
        <v>0.29105124999999998</v>
      </c>
      <c r="F58" s="63">
        <f>PERC_AVISO_PREVIO_IND%*(MOD_1_REMUNERACAO+SUBMOD_2_1_DEC_TERC_ADIC_FERIAS+AL_2_2_FGTS+SUBMOD_2_3_BENEFICIOS)</f>
        <v>12.093155571297499</v>
      </c>
    </row>
    <row r="59" spans="2:6" s="36" customFormat="1" x14ac:dyDescent="0.3">
      <c r="B59" s="33" t="s">
        <v>16</v>
      </c>
      <c r="C59" s="149" t="s">
        <v>228</v>
      </c>
      <c r="D59" s="149"/>
      <c r="E59" s="68">
        <f>PERC_AVISO_PREVIO_TRAB</f>
        <v>1.1557269305555555</v>
      </c>
      <c r="F59" s="64">
        <f>PERC_AVISO_PREVIO_TRAB%*(MOD_1_REMUNERACAO+SUBMOD_2_1_DEC_TERC_ADIC_FERIAS+SUBMOD_2_2_GPS_FGTS+SUBMOD_2_3_BENEFICIOS)</f>
        <v>57.541219157260798</v>
      </c>
    </row>
    <row r="60" spans="2:6" s="6" customFormat="1" x14ac:dyDescent="0.15">
      <c r="B60" s="33" t="s">
        <v>19</v>
      </c>
      <c r="C60" s="148" t="s">
        <v>230</v>
      </c>
      <c r="D60" s="148"/>
      <c r="E60" s="66">
        <f>PERC_MULTA_FGTS_AV_PREV_TRAB</f>
        <v>0.04</v>
      </c>
      <c r="F60" s="63">
        <f>PERC_MULTA_FGTS_AV_PREV_TRAB%*(MOD_1_REMUNERACAO+SUBMOD_2_1_DEC_TERC_ADIC_FERIAS)</f>
        <v>1.1441644444444445</v>
      </c>
    </row>
    <row r="61" spans="2:6" s="6" customFormat="1" x14ac:dyDescent="0.3">
      <c r="B61" s="138" t="s">
        <v>225</v>
      </c>
      <c r="C61" s="138"/>
      <c r="D61" s="138"/>
      <c r="E61" s="138"/>
      <c r="F61" s="85">
        <f>SUM(F58:F60)</f>
        <v>70.778539173002741</v>
      </c>
    </row>
    <row r="62" spans="2:6" ht="7.5" customHeight="1" x14ac:dyDescent="0.3">
      <c r="B62" s="87"/>
      <c r="D62" s="23"/>
      <c r="E62" s="32"/>
      <c r="F62" s="32"/>
    </row>
    <row r="63" spans="2:6" s="6" customFormat="1" ht="15.95" customHeight="1" x14ac:dyDescent="0.3">
      <c r="B63" s="31" t="s">
        <v>108</v>
      </c>
      <c r="C63" s="43"/>
      <c r="D63" s="44"/>
      <c r="E63" s="4"/>
      <c r="F63" s="4"/>
    </row>
    <row r="64" spans="2:6" s="6" customFormat="1" ht="15.95" customHeight="1" x14ac:dyDescent="0.3">
      <c r="B64" s="31" t="s">
        <v>109</v>
      </c>
      <c r="C64" s="43"/>
      <c r="D64" s="44"/>
      <c r="E64" s="45"/>
      <c r="F64" s="45"/>
    </row>
    <row r="65" spans="2:6" s="6" customFormat="1" ht="16.5" customHeight="1" x14ac:dyDescent="0.15">
      <c r="B65" s="12" t="s">
        <v>110</v>
      </c>
      <c r="C65" s="133" t="s">
        <v>111</v>
      </c>
      <c r="D65" s="133"/>
      <c r="E65" s="33" t="s">
        <v>112</v>
      </c>
      <c r="F65" s="33" t="s">
        <v>122</v>
      </c>
    </row>
    <row r="66" spans="2:6" s="6" customFormat="1" ht="15.95" customHeight="1" x14ac:dyDescent="0.15">
      <c r="B66" s="33" t="s">
        <v>14</v>
      </c>
      <c r="C66" s="143" t="s">
        <v>232</v>
      </c>
      <c r="D66" s="143"/>
      <c r="E66" s="66">
        <f>PERC_SUBSTITUTO_FERIAS</f>
        <v>8.3333333333333321</v>
      </c>
      <c r="F66" s="63">
        <f>PERC_SUBSTITUTO_FERIAS%*(MOD_1_REMUNERACAO+MOD_2_ENCARGOS_BENEFICIOS+MOD_3_PROVISAO_RESCISAO)</f>
        <v>420.79739493108343</v>
      </c>
    </row>
    <row r="67" spans="2:6" s="6" customFormat="1" ht="15.95" customHeight="1" x14ac:dyDescent="0.15">
      <c r="B67" s="33" t="s">
        <v>16</v>
      </c>
      <c r="C67" s="132" t="s">
        <v>234</v>
      </c>
      <c r="D67" s="132"/>
      <c r="E67" s="68">
        <f>PERC_SUBSTITUTO_AUSENCIAS_LEGAIS</f>
        <v>2.2222222222222223</v>
      </c>
      <c r="F67" s="64">
        <f>PERC_SUBSTITUTO_AUSENCIAS_LEGAIS%*(MOD_1_REMUNERACAO+MOD_2_ENCARGOS_BENEFICIOS+MOD_3_PROVISAO_RESCISAO)</f>
        <v>112.21263864828894</v>
      </c>
    </row>
    <row r="68" spans="2:6" s="6" customFormat="1" ht="15.95" customHeight="1" x14ac:dyDescent="0.15">
      <c r="B68" s="33" t="s">
        <v>19</v>
      </c>
      <c r="C68" s="143" t="s">
        <v>236</v>
      </c>
      <c r="D68" s="143"/>
      <c r="E68" s="66">
        <f>PERC_SUBSTITUTO_LICENCA_PATERNIDADE</f>
        <v>3.5673555555555549E-2</v>
      </c>
      <c r="F68" s="63">
        <f>PERC_SUBSTITUTO_LICENCA_PATERNIDADE%*(MOD_1_REMUNERACAO+MOD_2_ENCARGOS_BENEFICIOS+MOD_3_PROVISAO_RESCISAO)</f>
        <v>1.8013607094848469</v>
      </c>
    </row>
    <row r="69" spans="2:6" s="6" customFormat="1" ht="16.5" customHeight="1" x14ac:dyDescent="0.15">
      <c r="B69" s="33" t="s">
        <v>22</v>
      </c>
      <c r="C69" s="132" t="s">
        <v>238</v>
      </c>
      <c r="D69" s="132"/>
      <c r="E69" s="68">
        <f>PERC_SUBSTITUTO_ACID_TRAB</f>
        <v>1.85302229372558E-2</v>
      </c>
      <c r="F69" s="64">
        <f>PERC_SUBSTITUTO_ACID_TRAB%*(MOD_1_REMUNERACAO+MOD_2_ENCARGOS_BENEFICIOS+MOD_3_PROVISAO_RESCISAO)</f>
        <v>0.93569634473873409</v>
      </c>
    </row>
    <row r="70" spans="2:6" s="6" customFormat="1" ht="16.5" customHeight="1" x14ac:dyDescent="0.15">
      <c r="B70" s="33" t="s">
        <v>25</v>
      </c>
      <c r="C70" s="143" t="s">
        <v>240</v>
      </c>
      <c r="D70" s="143"/>
      <c r="E70" s="66">
        <f>PERC_SUBSTITUTO_AFAST_MATERN</f>
        <v>0.14312918399999999</v>
      </c>
      <c r="F70" s="63">
        <f>PERC_SUBSTITUTO_AFAST_MATERN%*(MOD_1_REMUNERACAO+MOD_2_ENCARGOS_BENEFICIOS+MOD_3_PROVISAO_RESCISAO)</f>
        <v>7.2274065318974072</v>
      </c>
    </row>
    <row r="71" spans="2:6" s="6" customFormat="1" x14ac:dyDescent="0.15">
      <c r="B71" s="33" t="s">
        <v>90</v>
      </c>
      <c r="C71" s="160" t="str">
        <f>OUTRAS_AUSENCIAS_DESCRICAO</f>
        <v>Outras Ausências (Especificar - em %)</v>
      </c>
      <c r="D71" s="160"/>
      <c r="E71" s="88">
        <f>PERC_SUBSTITUTO_OUTRAS_AUSENCIAS</f>
        <v>0</v>
      </c>
      <c r="F71" s="64">
        <f>PERC_SUBSTITUTO_OUTRAS_AUSENCIAS%*(MOD_1_REMUNERACAO+MOD_2_ENCARGOS_BENEFICIOS+MOD_3_PROVISAO_RESCISAO)</f>
        <v>0</v>
      </c>
    </row>
    <row r="72" spans="2:6" s="6" customFormat="1" x14ac:dyDescent="0.3">
      <c r="B72" s="138" t="s">
        <v>225</v>
      </c>
      <c r="C72" s="138"/>
      <c r="D72" s="138"/>
      <c r="E72" s="138"/>
      <c r="F72" s="85">
        <f>SUM(F66:F71)</f>
        <v>542.97449716549329</v>
      </c>
    </row>
    <row r="73" spans="2:6" s="6" customFormat="1" ht="15" customHeight="1" x14ac:dyDescent="0.3">
      <c r="B73" s="31" t="s">
        <v>114</v>
      </c>
      <c r="C73" s="43"/>
      <c r="D73" s="44"/>
      <c r="E73" s="45"/>
      <c r="F73" s="45"/>
    </row>
    <row r="74" spans="2:6" s="6" customFormat="1" x14ac:dyDescent="0.15">
      <c r="B74" s="12" t="s">
        <v>115</v>
      </c>
      <c r="C74" s="138" t="s">
        <v>116</v>
      </c>
      <c r="D74" s="138"/>
      <c r="E74" s="138"/>
      <c r="F74" s="33" t="s">
        <v>122</v>
      </c>
    </row>
    <row r="75" spans="2:6" s="6" customFormat="1" ht="16.5" customHeight="1" x14ac:dyDescent="0.15">
      <c r="B75" s="12" t="s">
        <v>14</v>
      </c>
      <c r="C75" s="143" t="s">
        <v>257</v>
      </c>
      <c r="D75" s="143"/>
      <c r="E75" s="143"/>
      <c r="F75" s="82">
        <f>IF(DIAS_TRABALHADOS_NO_MES=15,((MOD_1_REMUNERACAO+MOD_2_ENCARGOS_BENEFICIOS+MOD_3_PROVISAO_RESCISAO)/DIVISOR_DE_HORAS)*((TEMPO_INTERVALO_REFEICAO/HORA_NORMAL)+PERC_HORA_EXTRA%)*DIAS_TRABALHADOS_NO_MES,0)</f>
        <v>0</v>
      </c>
    </row>
    <row r="76" spans="2:6" s="6" customFormat="1" x14ac:dyDescent="0.3">
      <c r="B76" s="138" t="s">
        <v>225</v>
      </c>
      <c r="C76" s="138"/>
      <c r="D76" s="138"/>
      <c r="E76" s="138"/>
      <c r="F76" s="85">
        <f>SUM(F75)</f>
        <v>0</v>
      </c>
    </row>
    <row r="77" spans="2:6" ht="7.5" customHeight="1" x14ac:dyDescent="0.3">
      <c r="B77" s="87"/>
      <c r="D77" s="23"/>
      <c r="E77" s="32"/>
      <c r="F77" s="32"/>
    </row>
    <row r="78" spans="2:6" x14ac:dyDescent="0.3">
      <c r="B78" s="31" t="s">
        <v>120</v>
      </c>
      <c r="C78" s="43"/>
      <c r="D78" s="43"/>
      <c r="E78" s="45"/>
      <c r="F78" s="45"/>
    </row>
    <row r="79" spans="2:6" ht="15.75" customHeight="1" x14ac:dyDescent="0.3">
      <c r="B79" s="46">
        <v>5</v>
      </c>
      <c r="C79" s="139" t="s">
        <v>121</v>
      </c>
      <c r="D79" s="139"/>
      <c r="E79" s="139"/>
      <c r="F79" s="47" t="s">
        <v>122</v>
      </c>
    </row>
    <row r="80" spans="2:6" ht="16.5" customHeight="1" x14ac:dyDescent="0.3">
      <c r="B80" s="48" t="s">
        <v>14</v>
      </c>
      <c r="C80" s="140" t="s">
        <v>258</v>
      </c>
      <c r="D80" s="140"/>
      <c r="E80" s="140"/>
      <c r="F80" s="89">
        <f>'INSERÇÃO-DE-DADOS'!F83</f>
        <v>199.92</v>
      </c>
    </row>
    <row r="81" spans="2:6" ht="16.5" customHeight="1" x14ac:dyDescent="0.3">
      <c r="B81" s="48" t="s">
        <v>16</v>
      </c>
      <c r="C81" s="141" t="s">
        <v>259</v>
      </c>
      <c r="D81" s="141"/>
      <c r="E81" s="141"/>
      <c r="F81" s="90">
        <f>MATERIAIS</f>
        <v>0</v>
      </c>
    </row>
    <row r="82" spans="2:6" ht="16.5" customHeight="1" x14ac:dyDescent="0.3">
      <c r="B82" s="48" t="s">
        <v>19</v>
      </c>
      <c r="C82" s="140" t="s">
        <v>260</v>
      </c>
      <c r="D82" s="140"/>
      <c r="E82" s="140"/>
      <c r="F82" s="89">
        <f>EQUIPAMENTOS</f>
        <v>1.22</v>
      </c>
    </row>
    <row r="83" spans="2:6" x14ac:dyDescent="0.3">
      <c r="B83" s="48" t="s">
        <v>22</v>
      </c>
      <c r="C83" s="161" t="str">
        <f>OUTROS_INSUMOS_DESCRICAO</f>
        <v>Outros (Especificar)</v>
      </c>
      <c r="D83" s="161"/>
      <c r="E83" s="161"/>
      <c r="F83" s="90">
        <f>OUTROS_INSUMOS</f>
        <v>0</v>
      </c>
    </row>
    <row r="84" spans="2:6" ht="16.5" customHeight="1" x14ac:dyDescent="0.3">
      <c r="B84" s="139" t="s">
        <v>225</v>
      </c>
      <c r="C84" s="139"/>
      <c r="D84" s="139"/>
      <c r="E84" s="139"/>
      <c r="F84" s="91">
        <f>SUM(F80:F83)</f>
        <v>201.14</v>
      </c>
    </row>
    <row r="85" spans="2:6" ht="7.5" customHeight="1" x14ac:dyDescent="0.3">
      <c r="B85" s="87"/>
      <c r="D85" s="23"/>
      <c r="E85" s="32"/>
      <c r="F85" s="32"/>
    </row>
    <row r="86" spans="2:6" ht="15" customHeight="1" x14ac:dyDescent="0.3">
      <c r="B86" s="142" t="s">
        <v>159</v>
      </c>
      <c r="C86" s="142"/>
      <c r="D86" s="142"/>
      <c r="E86" s="142"/>
      <c r="F86" s="142"/>
    </row>
    <row r="87" spans="2:6" x14ac:dyDescent="0.3">
      <c r="B87" s="12">
        <v>6</v>
      </c>
      <c r="C87" s="138" t="s">
        <v>160</v>
      </c>
      <c r="D87" s="138"/>
      <c r="E87" s="33" t="s">
        <v>112</v>
      </c>
      <c r="F87" s="33" t="s">
        <v>122</v>
      </c>
    </row>
    <row r="88" spans="2:6" ht="16.5" customHeight="1" x14ac:dyDescent="0.3">
      <c r="B88" s="12" t="s">
        <v>14</v>
      </c>
      <c r="C88" s="143" t="s">
        <v>161</v>
      </c>
      <c r="D88" s="143"/>
      <c r="E88" s="92">
        <f>PERC_CUSTOS_INDIRETOS</f>
        <v>4.7300000000000004</v>
      </c>
      <c r="F88" s="63">
        <f>PERC_CUSTOS_INDIRETOS%*(MOD_1_REMUNERACAO+MOD_2_ENCARGOS_BENEFICIOS+MOD_3_PROVISAO_RESCISAO+MOD_4_CUSTO_REPOSICAO+MOD_5_INSUMOS)</f>
        <v>274.04121707881092</v>
      </c>
    </row>
    <row r="89" spans="2:6" ht="15.75" customHeight="1" x14ac:dyDescent="0.3">
      <c r="B89" s="33" t="s">
        <v>16</v>
      </c>
      <c r="C89" s="132" t="s">
        <v>162</v>
      </c>
      <c r="D89" s="132"/>
      <c r="E89" s="93">
        <f>PERC_LUCRO</f>
        <v>5.45</v>
      </c>
      <c r="F89" s="64">
        <f>PERC_LUCRO%*(MOD_1_REMUNERACAO+MOD_2_ENCARGOS_BENEFICIOS+MOD_3_PROVISAO_RESCISAO+MOD_4_CUSTO_REPOSICAO+MOD_5_INSUMOS+AL_6_A_CUSTOS_INDIRETOS)</f>
        <v>330.69098271124329</v>
      </c>
    </row>
    <row r="90" spans="2:6" ht="16.5" customHeight="1" x14ac:dyDescent="0.3">
      <c r="B90" s="33" t="s">
        <v>19</v>
      </c>
      <c r="C90" s="143" t="s">
        <v>261</v>
      </c>
      <c r="D90" s="143"/>
      <c r="E90" s="92">
        <f>SUM(E91:E93)</f>
        <v>8.65</v>
      </c>
      <c r="F90" s="63">
        <f>SUM(F91:F93)</f>
        <v>605.87075558305389</v>
      </c>
    </row>
    <row r="91" spans="2:6" ht="15.75" customHeight="1" x14ac:dyDescent="0.3">
      <c r="B91" s="54" t="s">
        <v>163</v>
      </c>
      <c r="C91" s="162" t="s">
        <v>164</v>
      </c>
      <c r="D91" s="162"/>
      <c r="E91" s="94">
        <f>PERC_PIS</f>
        <v>0.65</v>
      </c>
      <c r="F91" s="95">
        <f>((MOD_1_REMUNERACAO+MOD_2_ENCARGOS_BENEFICIOS+MOD_3_PROVISAO_RESCISAO+MOD_4_CUSTO_REPOSICAO+MOD_5_INSUMOS+AL_6_A_CUSTOS_INDIRETOS+AL_6_B_LUCRO)*PERC_PIS%)/(1-PERC_TRIBUTOS%)</f>
        <v>45.527860246125435</v>
      </c>
    </row>
    <row r="92" spans="2:6" ht="16.5" customHeight="1" x14ac:dyDescent="0.3">
      <c r="B92" s="54" t="s">
        <v>165</v>
      </c>
      <c r="C92" s="163" t="s">
        <v>166</v>
      </c>
      <c r="D92" s="163"/>
      <c r="E92" s="96">
        <f>PERC_COFINS</f>
        <v>3</v>
      </c>
      <c r="F92" s="97">
        <f>((MOD_1_REMUNERACAO+MOD_2_ENCARGOS_BENEFICIOS+MOD_3_PROVISAO_RESCISAO+MOD_4_CUSTO_REPOSICAO+MOD_5_INSUMOS+AL_6_A_CUSTOS_INDIRETOS+AL_6_B_LUCRO)*PERC_COFINS%)/(1-PERC_TRIBUTOS%)</f>
        <v>210.12858575134814</v>
      </c>
    </row>
    <row r="93" spans="2:6" s="50" customFormat="1" ht="16.5" customHeight="1" x14ac:dyDescent="0.3">
      <c r="B93" s="54" t="s">
        <v>167</v>
      </c>
      <c r="C93" s="162" t="s">
        <v>168</v>
      </c>
      <c r="D93" s="162"/>
      <c r="E93" s="94">
        <f>PERC_ISS</f>
        <v>5</v>
      </c>
      <c r="F93" s="95">
        <f>((MOD_1_REMUNERACAO+MOD_2_ENCARGOS_BENEFICIOS+MOD_3_PROVISAO_RESCISAO+MOD_4_CUSTO_REPOSICAO+MOD_5_INSUMOS+AL_6_A_CUSTOS_INDIRETOS+AL_6_B_LUCRO)*PERC_ISS%)/(1-PERC_TRIBUTOS%)</f>
        <v>350.21430958558028</v>
      </c>
    </row>
    <row r="94" spans="2:6" s="50" customFormat="1" x14ac:dyDescent="0.3">
      <c r="B94" s="138" t="s">
        <v>225</v>
      </c>
      <c r="C94" s="138"/>
      <c r="D94" s="138"/>
      <c r="E94" s="138"/>
      <c r="F94" s="98">
        <f>AL_6_A_CUSTOS_INDIRETOS+AL_6_B_LUCRO+AL_6_C_TRIBUTOS</f>
        <v>1210.6029553731082</v>
      </c>
    </row>
    <row r="95" spans="2:6" s="50" customFormat="1" ht="20.25" x14ac:dyDescent="0.3">
      <c r="B95" s="99" t="s">
        <v>262</v>
      </c>
      <c r="C95" s="100"/>
      <c r="D95" s="100"/>
      <c r="E95" s="100"/>
      <c r="F95" s="101"/>
    </row>
    <row r="96" spans="2:6" s="51" customFormat="1" ht="16.5" customHeight="1" x14ac:dyDescent="0.3">
      <c r="B96" s="33" t="s">
        <v>263</v>
      </c>
      <c r="C96" s="133" t="s">
        <v>264</v>
      </c>
      <c r="D96" s="133"/>
      <c r="E96" s="133"/>
      <c r="F96" s="33" t="s">
        <v>265</v>
      </c>
    </row>
    <row r="97" spans="2:6" s="50" customFormat="1" ht="16.5" customHeight="1" x14ac:dyDescent="0.3">
      <c r="B97" s="12">
        <v>1</v>
      </c>
      <c r="C97" s="143" t="s">
        <v>70</v>
      </c>
      <c r="D97" s="143"/>
      <c r="E97" s="143"/>
      <c r="F97" s="63">
        <f>MOD_1_REMUNERACAO</f>
        <v>2574.37</v>
      </c>
    </row>
    <row r="98" spans="2:6" s="52" customFormat="1" ht="16.5" customHeight="1" x14ac:dyDescent="0.3">
      <c r="B98" s="33">
        <v>2</v>
      </c>
      <c r="C98" s="132" t="s">
        <v>266</v>
      </c>
      <c r="D98" s="132"/>
      <c r="E98" s="132"/>
      <c r="F98" s="64">
        <f>MOD_2_ENCARGOS_BENEFICIOS</f>
        <v>2404.4201999999996</v>
      </c>
    </row>
    <row r="99" spans="2:6" s="52" customFormat="1" ht="16.5" customHeight="1" x14ac:dyDescent="0.3">
      <c r="B99" s="33">
        <v>3</v>
      </c>
      <c r="C99" s="143" t="s">
        <v>186</v>
      </c>
      <c r="D99" s="143"/>
      <c r="E99" s="143"/>
      <c r="F99" s="63">
        <f>MOD_3_PROVISAO_RESCISAO</f>
        <v>70.778539173002741</v>
      </c>
    </row>
    <row r="100" spans="2:6" s="52" customFormat="1" ht="16.5" customHeight="1" x14ac:dyDescent="0.3">
      <c r="B100" s="33">
        <v>4</v>
      </c>
      <c r="C100" s="132" t="s">
        <v>267</v>
      </c>
      <c r="D100" s="132"/>
      <c r="E100" s="132"/>
      <c r="F100" s="64">
        <f>MOD_4_CUSTO_REPOSICAO</f>
        <v>542.97449716549329</v>
      </c>
    </row>
    <row r="101" spans="2:6" s="52" customFormat="1" ht="16.5" customHeight="1" x14ac:dyDescent="0.3">
      <c r="B101" s="33">
        <v>5</v>
      </c>
      <c r="C101" s="143" t="s">
        <v>121</v>
      </c>
      <c r="D101" s="143"/>
      <c r="E101" s="143"/>
      <c r="F101" s="63">
        <f>MOD_5_INSUMOS</f>
        <v>201.14</v>
      </c>
    </row>
    <row r="102" spans="2:6" s="52" customFormat="1" ht="16.5" customHeight="1" x14ac:dyDescent="0.3">
      <c r="B102" s="33">
        <v>6</v>
      </c>
      <c r="C102" s="132" t="s">
        <v>160</v>
      </c>
      <c r="D102" s="132"/>
      <c r="E102" s="132"/>
      <c r="F102" s="64">
        <f>MOD_6_CUSTOS_IND_LUCRO_TRIB</f>
        <v>1210.6029553731082</v>
      </c>
    </row>
    <row r="103" spans="2:6" ht="16.5" customHeight="1" x14ac:dyDescent="0.3">
      <c r="B103" s="133" t="s">
        <v>268</v>
      </c>
      <c r="C103" s="133"/>
      <c r="D103" s="133"/>
      <c r="E103" s="133"/>
      <c r="F103" s="98">
        <f>SUM(F97:F102)-0.01</f>
        <v>7004.276191711604</v>
      </c>
    </row>
    <row r="104" spans="2:6" ht="16.5" customHeight="1" x14ac:dyDescent="0.3">
      <c r="B104" s="133" t="s">
        <v>269</v>
      </c>
      <c r="C104" s="133"/>
      <c r="D104" s="133"/>
      <c r="E104" s="133"/>
      <c r="F104" s="98">
        <f>VALOR_TOTAL_EMPREGADO*EMPREG_POR_POSTO</f>
        <v>7004.276191711604</v>
      </c>
    </row>
    <row r="105" spans="2:6" ht="16.5" customHeight="1" x14ac:dyDescent="0.3">
      <c r="B105" s="133" t="s">
        <v>270</v>
      </c>
      <c r="C105" s="133"/>
      <c r="D105" s="133"/>
      <c r="E105" s="133"/>
      <c r="F105" s="98">
        <f>VALOR_TOTAL_EMPREGADO*EMPREG_POR_POSTO*'INSERÇÃO-DE-DADOS'!F23+0.01</f>
        <v>14008.562383423208</v>
      </c>
    </row>
    <row r="107" spans="2:6" x14ac:dyDescent="0.3">
      <c r="B107" s="4" t="s">
        <v>271</v>
      </c>
    </row>
  </sheetData>
  <mergeCells count="93">
    <mergeCell ref="C102:E102"/>
    <mergeCell ref="B103:E103"/>
    <mergeCell ref="B104:E104"/>
    <mergeCell ref="B105:E105"/>
    <mergeCell ref="C96:E96"/>
    <mergeCell ref="C97:E97"/>
    <mergeCell ref="C98:E98"/>
    <mergeCell ref="C99:E99"/>
    <mergeCell ref="C100:E100"/>
    <mergeCell ref="C101:E101"/>
    <mergeCell ref="B94:E94"/>
    <mergeCell ref="C82:E82"/>
    <mergeCell ref="C83:E83"/>
    <mergeCell ref="B84:E84"/>
    <mergeCell ref="B86:F86"/>
    <mergeCell ref="C87:D87"/>
    <mergeCell ref="C88:D88"/>
    <mergeCell ref="C89:D89"/>
    <mergeCell ref="C90:D90"/>
    <mergeCell ref="C91:D91"/>
    <mergeCell ref="C92:D92"/>
    <mergeCell ref="C93:D93"/>
    <mergeCell ref="C81:E81"/>
    <mergeCell ref="C67:D67"/>
    <mergeCell ref="C68:D68"/>
    <mergeCell ref="C69:D69"/>
    <mergeCell ref="C70:D70"/>
    <mergeCell ref="C71:D71"/>
    <mergeCell ref="B72:E72"/>
    <mergeCell ref="C74:E74"/>
    <mergeCell ref="C75:E75"/>
    <mergeCell ref="B76:E76"/>
    <mergeCell ref="C79:E79"/>
    <mergeCell ref="C80:E80"/>
    <mergeCell ref="C66:D66"/>
    <mergeCell ref="C51:E51"/>
    <mergeCell ref="C52:E52"/>
    <mergeCell ref="C53:E53"/>
    <mergeCell ref="C54:E54"/>
    <mergeCell ref="B55:E55"/>
    <mergeCell ref="C57:D57"/>
    <mergeCell ref="C58:D58"/>
    <mergeCell ref="C59:D59"/>
    <mergeCell ref="C60:D60"/>
    <mergeCell ref="B61:E61"/>
    <mergeCell ref="C65:D65"/>
    <mergeCell ref="C50:E50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B47:E47"/>
    <mergeCell ref="C49:E49"/>
    <mergeCell ref="B37:F37"/>
    <mergeCell ref="C24:E24"/>
    <mergeCell ref="C25:E25"/>
    <mergeCell ref="C26:E26"/>
    <mergeCell ref="C27:E27"/>
    <mergeCell ref="C28:E28"/>
    <mergeCell ref="C29:E29"/>
    <mergeCell ref="B30:E30"/>
    <mergeCell ref="C33:D33"/>
    <mergeCell ref="C34:D34"/>
    <mergeCell ref="C35:D35"/>
    <mergeCell ref="B36:E36"/>
    <mergeCell ref="C23:E23"/>
    <mergeCell ref="C11:E11"/>
    <mergeCell ref="C12:E12"/>
    <mergeCell ref="D15:F15"/>
    <mergeCell ref="D16:F16"/>
    <mergeCell ref="D14:F14"/>
    <mergeCell ref="C17:E17"/>
    <mergeCell ref="B18:F18"/>
    <mergeCell ref="B19:E19"/>
    <mergeCell ref="C21:E21"/>
    <mergeCell ref="C22:E22"/>
    <mergeCell ref="C10:E10"/>
    <mergeCell ref="B1:F1"/>
    <mergeCell ref="B2:D2"/>
    <mergeCell ref="B3:F3"/>
    <mergeCell ref="B4:F4"/>
    <mergeCell ref="B5:C5"/>
    <mergeCell ref="D5:F5"/>
    <mergeCell ref="B6:C6"/>
    <mergeCell ref="D6:E6"/>
    <mergeCell ref="B7:F7"/>
    <mergeCell ref="C8:E8"/>
    <mergeCell ref="D9:F9"/>
  </mergeCells>
  <pageMargins left="0.511811024" right="0.511811024" top="0.78740157499999996" bottom="0.78740157499999996" header="0.31496062000000002" footer="0.31496062000000002"/>
  <pageSetup paperSize="9" scale="4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F743-4168-4A3A-BB46-CE68A2DC276E}">
  <sheetPr>
    <pageSetUpPr fitToPage="1"/>
  </sheetPr>
  <dimension ref="A1:AMJ107"/>
  <sheetViews>
    <sheetView topLeftCell="A80" workbookViewId="0">
      <selection activeCell="F104" sqref="F104"/>
    </sheetView>
  </sheetViews>
  <sheetFormatPr defaultColWidth="9.140625" defaultRowHeight="16.5" x14ac:dyDescent="0.3"/>
  <cols>
    <col min="1" max="1" width="2.7109375" style="4" customWidth="1"/>
    <col min="2" max="2" width="8.85546875" style="4" customWidth="1"/>
    <col min="3" max="3" width="55.140625" style="4" customWidth="1"/>
    <col min="4" max="4" width="7.85546875" style="4" customWidth="1"/>
    <col min="5" max="5" width="13.5703125" style="4" customWidth="1"/>
    <col min="6" max="6" width="15.42578125" style="4" customWidth="1"/>
    <col min="7" max="1024" width="9.140625" style="4"/>
  </cols>
  <sheetData>
    <row r="1" spans="2:6" ht="20.25" x14ac:dyDescent="0.35">
      <c r="B1" s="150" t="str">
        <f>RAMO</f>
        <v>RAMO: ESCOLA SUPERIOR DO MINISTÉRIO PÚBLICO DA UNIÃO</v>
      </c>
      <c r="C1" s="150"/>
      <c r="D1" s="150"/>
      <c r="E1" s="150"/>
      <c r="F1" s="150"/>
    </row>
    <row r="2" spans="2:6" ht="20.25" x14ac:dyDescent="0.35">
      <c r="B2" s="151" t="str">
        <f>UG</f>
        <v>UNIDADE GESTORA (SIGLA): ESMPU</v>
      </c>
      <c r="C2" s="151"/>
      <c r="D2" s="151"/>
      <c r="E2" s="71" t="s">
        <v>2</v>
      </c>
      <c r="F2" s="72">
        <f>DATA_DO_ORCAMENTO_ESTIMATIVO</f>
        <v>45702</v>
      </c>
    </row>
    <row r="3" spans="2:6" s="6" customFormat="1" ht="25.5" x14ac:dyDescent="0.5">
      <c r="B3" s="124" t="s">
        <v>243</v>
      </c>
      <c r="C3" s="124"/>
      <c r="D3" s="124"/>
      <c r="E3" s="124"/>
      <c r="F3" s="124"/>
    </row>
    <row r="4" spans="2:6" s="6" customFormat="1" ht="15.95" customHeight="1" x14ac:dyDescent="0.3">
      <c r="B4" s="125" t="s">
        <v>4</v>
      </c>
      <c r="C4" s="125"/>
      <c r="D4" s="125"/>
      <c r="E4" s="125"/>
      <c r="F4" s="125"/>
    </row>
    <row r="5" spans="2:6" s="6" customFormat="1" ht="15.95" customHeight="1" x14ac:dyDescent="0.3">
      <c r="B5" s="126" t="s">
        <v>244</v>
      </c>
      <c r="C5" s="126"/>
      <c r="D5" s="152" t="str">
        <f>NUMERO_PROCESSO</f>
        <v>0.01.000.1.003277/2024-10</v>
      </c>
      <c r="E5" s="152"/>
      <c r="F5" s="152"/>
    </row>
    <row r="6" spans="2:6" s="6" customFormat="1" ht="15.75" customHeight="1" x14ac:dyDescent="0.3">
      <c r="B6" s="128" t="s">
        <v>245</v>
      </c>
      <c r="C6" s="128"/>
      <c r="D6" s="153" t="str">
        <f>MODALIDADE_DE_LICITACAO</f>
        <v>Pregão nº</v>
      </c>
      <c r="E6" s="153"/>
      <c r="F6" s="73" t="str">
        <f>NUMERO_PREGAO</f>
        <v>XX/20XX</v>
      </c>
    </row>
    <row r="7" spans="2:6" s="6" customFormat="1" ht="15.75" customHeight="1" x14ac:dyDescent="0.3">
      <c r="B7" s="154" t="s">
        <v>246</v>
      </c>
      <c r="C7" s="154"/>
      <c r="D7" s="154"/>
      <c r="E7" s="154"/>
      <c r="F7" s="154"/>
    </row>
    <row r="8" spans="2:6" s="6" customFormat="1" ht="18" customHeight="1" x14ac:dyDescent="0.3">
      <c r="B8" s="10" t="s">
        <v>14</v>
      </c>
      <c r="C8" s="126" t="s">
        <v>15</v>
      </c>
      <c r="D8" s="126"/>
      <c r="E8" s="126"/>
      <c r="F8" s="74" t="str">
        <f>DATA_APRESENTACAO_PROPOSTA</f>
        <v>XX/XX/20XX</v>
      </c>
    </row>
    <row r="9" spans="2:6" s="6" customFormat="1" ht="15.95" customHeight="1" x14ac:dyDescent="0.15">
      <c r="B9" s="12" t="s">
        <v>16</v>
      </c>
      <c r="C9" s="13" t="s">
        <v>17</v>
      </c>
      <c r="D9" s="145" t="str">
        <f>IF(LOCAL_DE_EXECUCAO="","",LOCAL_DE_EXECUCAO)</f>
        <v>SEDE DA ESMPU</v>
      </c>
      <c r="E9" s="145"/>
      <c r="F9" s="145"/>
    </row>
    <row r="10" spans="2:6" s="6" customFormat="1" ht="18.75" customHeight="1" x14ac:dyDescent="0.3">
      <c r="B10" s="10" t="s">
        <v>19</v>
      </c>
      <c r="C10" s="126" t="s">
        <v>23</v>
      </c>
      <c r="D10" s="126"/>
      <c r="E10" s="126"/>
      <c r="F10" s="75" t="str">
        <f>ACORDO_COLETIVO</f>
        <v>01/2025</v>
      </c>
    </row>
    <row r="11" spans="2:6" s="6" customFormat="1" ht="15.95" customHeight="1" x14ac:dyDescent="0.3">
      <c r="B11" s="12" t="s">
        <v>22</v>
      </c>
      <c r="C11" s="145" t="s">
        <v>26</v>
      </c>
      <c r="D11" s="145"/>
      <c r="E11" s="145"/>
      <c r="F11" s="40">
        <f>NUMERO_MESES_EXEC_CONTRATUAL</f>
        <v>12</v>
      </c>
    </row>
    <row r="12" spans="2:6" s="6" customFormat="1" x14ac:dyDescent="0.3">
      <c r="B12" s="12" t="s">
        <v>25</v>
      </c>
      <c r="C12" s="155" t="s">
        <v>247</v>
      </c>
      <c r="D12" s="155"/>
      <c r="E12" s="155"/>
      <c r="F12" s="15">
        <f>'INSERÇÃO-DE-DADOS'!F24</f>
        <v>1</v>
      </c>
    </row>
    <row r="13" spans="2:6" s="76" customFormat="1" ht="15" customHeight="1" x14ac:dyDescent="0.2">
      <c r="B13" s="77" t="s">
        <v>68</v>
      </c>
      <c r="C13" s="78"/>
      <c r="D13" s="78"/>
      <c r="E13" s="78"/>
      <c r="F13" s="78"/>
    </row>
    <row r="14" spans="2:6" s="6" customFormat="1" x14ac:dyDescent="0.3">
      <c r="B14" s="10">
        <v>1</v>
      </c>
      <c r="C14" s="24" t="s">
        <v>248</v>
      </c>
      <c r="D14" s="165" t="str">
        <f>'INSERÇÃO-DE-DADOS'!C24</f>
        <v>Operador de máquina reprográfica</v>
      </c>
      <c r="E14" s="166"/>
      <c r="F14" s="167"/>
    </row>
    <row r="15" spans="2:6" s="6" customFormat="1" x14ac:dyDescent="0.3">
      <c r="B15" s="10">
        <v>2</v>
      </c>
      <c r="C15" s="25" t="s">
        <v>249</v>
      </c>
      <c r="D15" s="152" t="str">
        <f>'INSERÇÃO-DE-DADOS'!D34</f>
        <v>4151-30</v>
      </c>
      <c r="E15" s="152"/>
      <c r="F15" s="152"/>
    </row>
    <row r="16" spans="2:6" s="6" customFormat="1" ht="15" customHeight="1" x14ac:dyDescent="0.3">
      <c r="B16" s="10">
        <v>3</v>
      </c>
      <c r="C16" s="24" t="s">
        <v>64</v>
      </c>
      <c r="D16" s="152" t="str">
        <f>IF(CATEGORIA_PROFISSIONAL="","",CATEGORIA_PROFISSIONAL)</f>
        <v>Apoio Administrativo</v>
      </c>
      <c r="E16" s="152"/>
      <c r="F16" s="152"/>
    </row>
    <row r="17" spans="2:6" s="6" customFormat="1" ht="15" customHeight="1" x14ac:dyDescent="0.3">
      <c r="B17" s="10">
        <v>4</v>
      </c>
      <c r="C17" s="128" t="s">
        <v>66</v>
      </c>
      <c r="D17" s="128"/>
      <c r="E17" s="128"/>
      <c r="F17" s="79">
        <f>DATA_BASE_CATEGORIA</f>
        <v>45658</v>
      </c>
    </row>
    <row r="18" spans="2:6" s="80" customFormat="1" ht="20.25" customHeight="1" x14ac:dyDescent="0.3">
      <c r="B18" s="157" t="s">
        <v>250</v>
      </c>
      <c r="C18" s="157"/>
      <c r="D18" s="157"/>
      <c r="E18" s="157"/>
      <c r="F18" s="157"/>
    </row>
    <row r="19" spans="2:6" x14ac:dyDescent="0.3">
      <c r="B19" s="138" t="s">
        <v>251</v>
      </c>
      <c r="C19" s="138"/>
      <c r="D19" s="138"/>
      <c r="E19" s="138"/>
      <c r="F19" s="81">
        <f>IF(EMPREG_POR_POSTO="","",EMPREG_POR_POSTO)</f>
        <v>1</v>
      </c>
    </row>
    <row r="20" spans="2:6" x14ac:dyDescent="0.3">
      <c r="B20" s="31" t="s">
        <v>69</v>
      </c>
      <c r="E20" s="32"/>
      <c r="F20" s="32"/>
    </row>
    <row r="21" spans="2:6" ht="16.5" customHeight="1" x14ac:dyDescent="0.3">
      <c r="B21" s="12">
        <v>1</v>
      </c>
      <c r="C21" s="133" t="s">
        <v>70</v>
      </c>
      <c r="D21" s="133"/>
      <c r="E21" s="133"/>
      <c r="F21" s="33" t="s">
        <v>122</v>
      </c>
    </row>
    <row r="22" spans="2:6" ht="16.5" customHeight="1" x14ac:dyDescent="0.3">
      <c r="B22" s="12" t="s">
        <v>14</v>
      </c>
      <c r="C22" s="134" t="s">
        <v>252</v>
      </c>
      <c r="D22" s="134"/>
      <c r="E22" s="134"/>
      <c r="F22" s="82">
        <f>'INSERÇÃO-DE-DADOS'!F48</f>
        <v>1743.69</v>
      </c>
    </row>
    <row r="23" spans="2:6" ht="16.5" customHeight="1" x14ac:dyDescent="0.3">
      <c r="B23" s="12" t="s">
        <v>16</v>
      </c>
      <c r="C23" s="132" t="s">
        <v>253</v>
      </c>
      <c r="D23" s="132"/>
      <c r="E23" s="132"/>
      <c r="F23" s="83">
        <f>PERC_ADIC_PERIC%*SALARIO_BASE</f>
        <v>0</v>
      </c>
    </row>
    <row r="24" spans="2:6" ht="15.75" customHeight="1" x14ac:dyDescent="0.3">
      <c r="B24" s="12" t="s">
        <v>19</v>
      </c>
      <c r="C24" s="159" t="s">
        <v>254</v>
      </c>
      <c r="D24" s="159"/>
      <c r="E24" s="159"/>
      <c r="F24" s="82">
        <f>((AL_1_A_SAL_BASE+AL_1_B_ADIC_PERIC)/DIVISOR_DE_HORAS)*DIAS_NA_SEMANA*MEDIA_ANUAL_DIAS_TRABALHO_MES*PERC_ADIC_NOT%</f>
        <v>0</v>
      </c>
    </row>
    <row r="25" spans="2:6" ht="15.75" customHeight="1" x14ac:dyDescent="0.3">
      <c r="B25" s="12" t="s">
        <v>22</v>
      </c>
      <c r="C25" s="132" t="s">
        <v>255</v>
      </c>
      <c r="D25" s="132"/>
      <c r="E25" s="132"/>
      <c r="F25" s="83">
        <f>((AL_1_A_SAL_BASE+AL_1_B_ADIC_PERIC)/DIVISOR_DE_HORAS)*((HORA_NORMAL-HORA_NOTURNA)/HORA_NOTURNA)*DIAS_NA_SEMANA*MEDIA_ANUAL_DIAS_TRABALHO_MES*PERC_ADIC_NOT%</f>
        <v>0</v>
      </c>
    </row>
    <row r="26" spans="2:6" ht="15.75" customHeight="1" x14ac:dyDescent="0.3">
      <c r="B26" s="12" t="s">
        <v>25</v>
      </c>
      <c r="C26" s="143" t="s">
        <v>256</v>
      </c>
      <c r="D26" s="143"/>
      <c r="E26" s="143"/>
      <c r="F26" s="82">
        <f>PERC_ADIC_INS%*SAL_MINIMO</f>
        <v>0</v>
      </c>
    </row>
    <row r="27" spans="2:6" x14ac:dyDescent="0.3">
      <c r="B27" s="12" t="s">
        <v>90</v>
      </c>
      <c r="C27" s="135" t="str">
        <f>OUTROS_REMUNERACAO_1_DESCRICAO</f>
        <v>Outras Remunerações 1 (Especificar)</v>
      </c>
      <c r="D27" s="135"/>
      <c r="E27" s="135"/>
      <c r="F27" s="83">
        <f>OUTROS_REMUNERACAO_1</f>
        <v>0</v>
      </c>
    </row>
    <row r="28" spans="2:6" x14ac:dyDescent="0.3">
      <c r="B28" s="12" t="s">
        <v>92</v>
      </c>
      <c r="C28" s="134" t="str">
        <f>OUTROS_REMUNERACAO_2_DESCRICAO</f>
        <v>Outras Remunerações 2 (Especificar)</v>
      </c>
      <c r="D28" s="134"/>
      <c r="E28" s="134"/>
      <c r="F28" s="82">
        <f>OUTROS_REMUNERACAO_2</f>
        <v>0</v>
      </c>
    </row>
    <row r="29" spans="2:6" x14ac:dyDescent="0.3">
      <c r="B29" s="12" t="s">
        <v>200</v>
      </c>
      <c r="C29" s="135" t="str">
        <f>OUTROS_REMUNERACAO_3_DESCRICAO</f>
        <v>Outras Remunerações 3 (Especificar)</v>
      </c>
      <c r="D29" s="135"/>
      <c r="E29" s="135"/>
      <c r="F29" s="83">
        <f>OUTROS_REMUNERACAO_3</f>
        <v>0</v>
      </c>
    </row>
    <row r="30" spans="2:6" ht="16.5" customHeight="1" x14ac:dyDescent="0.3">
      <c r="B30" s="133" t="s">
        <v>225</v>
      </c>
      <c r="C30" s="133"/>
      <c r="D30" s="133"/>
      <c r="E30" s="133"/>
      <c r="F30" s="84">
        <f>SUM(F22:F29)</f>
        <v>1743.69</v>
      </c>
    </row>
    <row r="31" spans="2:6" x14ac:dyDescent="0.3">
      <c r="B31" s="31" t="s">
        <v>94</v>
      </c>
      <c r="E31" s="37"/>
      <c r="F31" s="37"/>
    </row>
    <row r="32" spans="2:6" x14ac:dyDescent="0.3">
      <c r="B32" s="31" t="s">
        <v>206</v>
      </c>
      <c r="C32" s="43"/>
      <c r="D32" s="44"/>
      <c r="E32" s="45"/>
      <c r="F32" s="45"/>
    </row>
    <row r="33" spans="2:6" x14ac:dyDescent="0.3">
      <c r="B33" s="12" t="s">
        <v>207</v>
      </c>
      <c r="C33" s="138" t="s">
        <v>208</v>
      </c>
      <c r="D33" s="138"/>
      <c r="E33" s="33" t="s">
        <v>112</v>
      </c>
      <c r="F33" s="33" t="s">
        <v>122</v>
      </c>
    </row>
    <row r="34" spans="2:6" ht="16.5" customHeight="1" x14ac:dyDescent="0.3">
      <c r="B34" s="12" t="s">
        <v>14</v>
      </c>
      <c r="C34" s="143" t="s">
        <v>210</v>
      </c>
      <c r="D34" s="143"/>
      <c r="E34" s="66">
        <f>PERC_DEC_TERC</f>
        <v>8.3333333333333321</v>
      </c>
      <c r="F34" s="63">
        <f>PERC_DEC_TERC%*MOD_1_REMUNERACAO</f>
        <v>145.30749999999998</v>
      </c>
    </row>
    <row r="35" spans="2:6" ht="16.5" customHeight="1" x14ac:dyDescent="0.3">
      <c r="B35" s="33" t="s">
        <v>16</v>
      </c>
      <c r="C35" s="132" t="s">
        <v>212</v>
      </c>
      <c r="D35" s="132"/>
      <c r="E35" s="67">
        <f>PERC_ADIC_FERIAS</f>
        <v>2.7777777777777777</v>
      </c>
      <c r="F35" s="64">
        <f>PERC_ADIC_FERIAS%*MOD_1_REMUNERACAO</f>
        <v>48.435833333333335</v>
      </c>
    </row>
    <row r="36" spans="2:6" s="36" customFormat="1" x14ac:dyDescent="0.3">
      <c r="B36" s="138" t="s">
        <v>225</v>
      </c>
      <c r="C36" s="138"/>
      <c r="D36" s="138"/>
      <c r="E36" s="138"/>
      <c r="F36" s="85">
        <f>SUM(F34:F35)</f>
        <v>193.74333333333331</v>
      </c>
    </row>
    <row r="37" spans="2:6" s="36" customFormat="1" ht="31.5" customHeight="1" x14ac:dyDescent="0.3">
      <c r="B37" s="158" t="s">
        <v>214</v>
      </c>
      <c r="C37" s="158"/>
      <c r="D37" s="158"/>
      <c r="E37" s="158"/>
      <c r="F37" s="158"/>
    </row>
    <row r="38" spans="2:6" s="36" customFormat="1" ht="34.5" customHeight="1" x14ac:dyDescent="0.3">
      <c r="B38" s="12" t="s">
        <v>215</v>
      </c>
      <c r="C38" s="147" t="s">
        <v>216</v>
      </c>
      <c r="D38" s="147"/>
      <c r="E38" s="33" t="s">
        <v>112</v>
      </c>
      <c r="F38" s="33" t="s">
        <v>122</v>
      </c>
    </row>
    <row r="39" spans="2:6" ht="16.5" customHeight="1" x14ac:dyDescent="0.3">
      <c r="B39" s="12" t="s">
        <v>14</v>
      </c>
      <c r="C39" s="143" t="s">
        <v>217</v>
      </c>
      <c r="D39" s="143"/>
      <c r="E39" s="66">
        <f>PERC_INSS</f>
        <v>20</v>
      </c>
      <c r="F39" s="63">
        <f>PERC_INSS%*(MOD_1_REMUNERACAO+SUBMOD_2_1_DEC_TERC_ADIC_FERIAS)</f>
        <v>387.48666666666668</v>
      </c>
    </row>
    <row r="40" spans="2:6" s="6" customFormat="1" ht="16.5" customHeight="1" x14ac:dyDescent="0.15">
      <c r="B40" s="33" t="s">
        <v>16</v>
      </c>
      <c r="C40" s="132" t="s">
        <v>218</v>
      </c>
      <c r="D40" s="132"/>
      <c r="E40" s="68">
        <f>PERC_SAL_EDUCACAO</f>
        <v>2.5</v>
      </c>
      <c r="F40" s="64">
        <f>PERC_SAL_EDUCACAO%*(MOD_1_REMUNERACAO+SUBMOD_2_1_DEC_TERC_ADIC_FERIAS)</f>
        <v>48.435833333333335</v>
      </c>
    </row>
    <row r="41" spans="2:6" s="6" customFormat="1" ht="16.5" customHeight="1" x14ac:dyDescent="0.15">
      <c r="B41" s="33" t="s">
        <v>19</v>
      </c>
      <c r="C41" s="143" t="s">
        <v>219</v>
      </c>
      <c r="D41" s="143"/>
      <c r="E41" s="66">
        <f>PERC_RAT</f>
        <v>3</v>
      </c>
      <c r="F41" s="63">
        <f>PERC_RAT%*(MOD_1_REMUNERACAO+SUBMOD_2_1_DEC_TERC_ADIC_FERIAS)</f>
        <v>58.122999999999998</v>
      </c>
    </row>
    <row r="42" spans="2:6" s="6" customFormat="1" ht="16.5" customHeight="1" x14ac:dyDescent="0.15">
      <c r="B42" s="33" t="s">
        <v>22</v>
      </c>
      <c r="C42" s="132" t="s">
        <v>220</v>
      </c>
      <c r="D42" s="132"/>
      <c r="E42" s="67">
        <f>PERC_SESC</f>
        <v>1.5</v>
      </c>
      <c r="F42" s="64">
        <f>PERC_SESC%*(MOD_1_REMUNERACAO+SUBMOD_2_1_DEC_TERC_ADIC_FERIAS)</f>
        <v>29.061499999999999</v>
      </c>
    </row>
    <row r="43" spans="2:6" s="6" customFormat="1" ht="16.5" customHeight="1" x14ac:dyDescent="0.15">
      <c r="B43" s="33" t="s">
        <v>25</v>
      </c>
      <c r="C43" s="143" t="s">
        <v>221</v>
      </c>
      <c r="D43" s="143"/>
      <c r="E43" s="66">
        <f>PERC_SENAC</f>
        <v>1</v>
      </c>
      <c r="F43" s="63">
        <f>PERC_SENAC%*(MOD_1_REMUNERACAO+SUBMOD_2_1_DEC_TERC_ADIC_FERIAS)</f>
        <v>19.374333333333336</v>
      </c>
    </row>
    <row r="44" spans="2:6" s="6" customFormat="1" ht="16.5" customHeight="1" x14ac:dyDescent="0.15">
      <c r="B44" s="33" t="s">
        <v>90</v>
      </c>
      <c r="C44" s="132" t="s">
        <v>222</v>
      </c>
      <c r="D44" s="132"/>
      <c r="E44" s="68">
        <f>PERC_SEBRAE</f>
        <v>0.6</v>
      </c>
      <c r="F44" s="64">
        <f>PERC_SEBRAE%*(MOD_1_REMUNERACAO+SUBMOD_2_1_DEC_TERC_ADIC_FERIAS)</f>
        <v>11.624600000000001</v>
      </c>
    </row>
    <row r="45" spans="2:6" s="6" customFormat="1" ht="16.5" customHeight="1" x14ac:dyDescent="0.15">
      <c r="B45" s="33" t="s">
        <v>92</v>
      </c>
      <c r="C45" s="143" t="s">
        <v>223</v>
      </c>
      <c r="D45" s="143"/>
      <c r="E45" s="66">
        <f>PERC_INCRA</f>
        <v>0.2</v>
      </c>
      <c r="F45" s="63">
        <f>PERC_INCRA%*(MOD_1_REMUNERACAO+SUBMOD_2_1_DEC_TERC_ADIC_FERIAS)</f>
        <v>3.8748666666666667</v>
      </c>
    </row>
    <row r="46" spans="2:6" ht="16.5" customHeight="1" x14ac:dyDescent="0.3">
      <c r="B46" s="33" t="s">
        <v>200</v>
      </c>
      <c r="C46" s="132" t="s">
        <v>224</v>
      </c>
      <c r="D46" s="132"/>
      <c r="E46" s="68">
        <f>PERC_FGTS</f>
        <v>8</v>
      </c>
      <c r="F46" s="64">
        <f>PERC_FGTS%*(MOD_1_REMUNERACAO+SUBMOD_2_1_DEC_TERC_ADIC_FERIAS)</f>
        <v>154.99466666666669</v>
      </c>
    </row>
    <row r="47" spans="2:6" x14ac:dyDescent="0.3">
      <c r="B47" s="138" t="s">
        <v>225</v>
      </c>
      <c r="C47" s="138"/>
      <c r="D47" s="138"/>
      <c r="E47" s="138"/>
      <c r="F47" s="86">
        <f>SUM(F39:F46)</f>
        <v>712.97546666666665</v>
      </c>
    </row>
    <row r="48" spans="2:6" ht="15.75" customHeight="1" x14ac:dyDescent="0.3">
      <c r="B48" s="31" t="s">
        <v>95</v>
      </c>
      <c r="C48" s="6"/>
      <c r="D48" s="6"/>
      <c r="E48" s="6"/>
      <c r="F48" s="6"/>
    </row>
    <row r="49" spans="2:6" ht="15.75" customHeight="1" x14ac:dyDescent="0.3">
      <c r="B49" s="12" t="s">
        <v>96</v>
      </c>
      <c r="C49" s="133" t="s">
        <v>97</v>
      </c>
      <c r="D49" s="133"/>
      <c r="E49" s="133"/>
      <c r="F49" s="33" t="s">
        <v>122</v>
      </c>
    </row>
    <row r="50" spans="2:6" ht="16.5" customHeight="1" x14ac:dyDescent="0.3">
      <c r="B50" s="10" t="s">
        <v>14</v>
      </c>
      <c r="C50" s="143" t="s">
        <v>100</v>
      </c>
      <c r="D50" s="143"/>
      <c r="E50" s="143"/>
      <c r="F50" s="63">
        <f>IF(((TRANSPORTE_POR_DIA*DIAS_TRABALHADOS_NO_MES)-(PERC_DESC_TRANSP_REMUNERACAO%*(AL_1_A_SAL_BASE)))&gt;0,((TRANSPORTE_POR_DIA*DIAS_TRABALHADOS_NO_MES)-(PERC_DESC_TRANSP_REMUNERACAO%*(AL_1_A_SAL_BASE))),0)</f>
        <v>137.37860000000001</v>
      </c>
    </row>
    <row r="51" spans="2:6" s="36" customFormat="1" ht="16.5" customHeight="1" x14ac:dyDescent="0.3">
      <c r="B51" s="10" t="s">
        <v>16</v>
      </c>
      <c r="C51" s="132" t="s">
        <v>102</v>
      </c>
      <c r="D51" s="132"/>
      <c r="E51" s="132"/>
      <c r="F51" s="64">
        <f>ALIMENTACAO_POR_DIA*DIAS_TRABALHADOS_NO_MES</f>
        <v>974.59999999999991</v>
      </c>
    </row>
    <row r="52" spans="2:6" s="36" customFormat="1" x14ac:dyDescent="0.3">
      <c r="B52" s="10" t="s">
        <v>19</v>
      </c>
      <c r="C52" s="134" t="str">
        <f>OUTROS_BENEFICIOS_1_DESCRICAO</f>
        <v>Assistência Funeral - Seguro de Vida Coletivo</v>
      </c>
      <c r="D52" s="134"/>
      <c r="E52" s="134"/>
      <c r="F52" s="63">
        <f>OUTROS_BENEFICIOS_1</f>
        <v>3.61</v>
      </c>
    </row>
    <row r="53" spans="2:6" s="36" customFormat="1" x14ac:dyDescent="0.3">
      <c r="B53" s="10" t="s">
        <v>22</v>
      </c>
      <c r="C53" s="135" t="str">
        <f>OUTROS_BENEFICIOS_2_DESCRICAO</f>
        <v>Outros Benefícios 2 (Especificar)</v>
      </c>
      <c r="D53" s="135"/>
      <c r="E53" s="135"/>
      <c r="F53" s="64">
        <f>OUTROS_BENEFICIOS_2</f>
        <v>0</v>
      </c>
    </row>
    <row r="54" spans="2:6" s="36" customFormat="1" x14ac:dyDescent="0.3">
      <c r="B54" s="10" t="s">
        <v>25</v>
      </c>
      <c r="C54" s="134" t="str">
        <f>OUTROS_BENEFICIOS_3_DESCRICAO</f>
        <v>Outros Benefícios 3 (Especificar)</v>
      </c>
      <c r="D54" s="134"/>
      <c r="E54" s="134"/>
      <c r="F54" s="63">
        <f>OUTROS_BENEFICIOS_3</f>
        <v>0</v>
      </c>
    </row>
    <row r="55" spans="2:6" s="36" customFormat="1" ht="15" customHeight="1" x14ac:dyDescent="0.3">
      <c r="B55" s="133" t="s">
        <v>225</v>
      </c>
      <c r="C55" s="133"/>
      <c r="D55" s="133"/>
      <c r="E55" s="133"/>
      <c r="F55" s="84">
        <f>SUM(F50:F54)</f>
        <v>1115.5885999999998</v>
      </c>
    </row>
    <row r="56" spans="2:6" s="36" customFormat="1" x14ac:dyDescent="0.3">
      <c r="B56" s="31" t="s">
        <v>185</v>
      </c>
      <c r="C56" s="43"/>
      <c r="D56" s="44"/>
      <c r="E56" s="45"/>
      <c r="F56" s="45"/>
    </row>
    <row r="57" spans="2:6" s="36" customFormat="1" ht="15" customHeight="1" x14ac:dyDescent="0.3">
      <c r="B57" s="12">
        <v>3</v>
      </c>
      <c r="C57" s="138" t="s">
        <v>186</v>
      </c>
      <c r="D57" s="138"/>
      <c r="E57" s="33" t="s">
        <v>112</v>
      </c>
      <c r="F57" s="33" t="s">
        <v>122</v>
      </c>
    </row>
    <row r="58" spans="2:6" s="36" customFormat="1" x14ac:dyDescent="0.3">
      <c r="B58" s="12" t="s">
        <v>14</v>
      </c>
      <c r="C58" s="148" t="s">
        <v>226</v>
      </c>
      <c r="D58" s="148"/>
      <c r="E58" s="66">
        <f>PERC_AVISO_PREVIO_IND</f>
        <v>0.29105124999999998</v>
      </c>
      <c r="F58" s="63">
        <f>PERC_AVISO_PREVIO_IND%*(MOD_1_REMUNERACAO+SUBMOD_2_1_DEC_TERC_ADIC_FERIAS+AL_2_2_FGTS+SUBMOD_2_3_BENEFICIOS)</f>
        <v>9.3369724145074997</v>
      </c>
    </row>
    <row r="59" spans="2:6" s="36" customFormat="1" x14ac:dyDescent="0.3">
      <c r="B59" s="33" t="s">
        <v>16</v>
      </c>
      <c r="C59" s="149" t="s">
        <v>228</v>
      </c>
      <c r="D59" s="149"/>
      <c r="E59" s="68">
        <f>PERC_AVISO_PREVIO_TRAB</f>
        <v>1.1557269305555555</v>
      </c>
      <c r="F59" s="64">
        <f>PERC_AVISO_PREVIO_TRAB%*(MOD_1_REMUNERACAO+SUBMOD_2_1_DEC_TERC_ADIC_FERIAS+SUBMOD_2_2_GPS_FGTS+SUBMOD_2_3_BENEFICIOS)</f>
        <v>43.524646155822026</v>
      </c>
    </row>
    <row r="60" spans="2:6" s="6" customFormat="1" x14ac:dyDescent="0.15">
      <c r="B60" s="33" t="s">
        <v>19</v>
      </c>
      <c r="C60" s="148" t="s">
        <v>230</v>
      </c>
      <c r="D60" s="148"/>
      <c r="E60" s="66">
        <f>PERC_MULTA_FGTS_AV_PREV_TRAB</f>
        <v>0.04</v>
      </c>
      <c r="F60" s="63">
        <f>PERC_MULTA_FGTS_AV_PREV_TRAB%*(MOD_1_REMUNERACAO+SUBMOD_2_1_DEC_TERC_ADIC_FERIAS)</f>
        <v>0.7749733333333334</v>
      </c>
    </row>
    <row r="61" spans="2:6" s="6" customFormat="1" x14ac:dyDescent="0.3">
      <c r="B61" s="138" t="s">
        <v>225</v>
      </c>
      <c r="C61" s="138"/>
      <c r="D61" s="138"/>
      <c r="E61" s="138"/>
      <c r="F61" s="85">
        <f>SUM(F58:F60)</f>
        <v>53.636591903662861</v>
      </c>
    </row>
    <row r="62" spans="2:6" ht="7.5" customHeight="1" x14ac:dyDescent="0.3">
      <c r="B62" s="87"/>
      <c r="D62" s="23"/>
      <c r="E62" s="32"/>
      <c r="F62" s="32"/>
    </row>
    <row r="63" spans="2:6" s="6" customFormat="1" ht="15.95" customHeight="1" x14ac:dyDescent="0.3">
      <c r="B63" s="31" t="s">
        <v>108</v>
      </c>
      <c r="C63" s="43"/>
      <c r="D63" s="44"/>
      <c r="E63" s="4"/>
      <c r="F63" s="4"/>
    </row>
    <row r="64" spans="2:6" s="6" customFormat="1" ht="15.95" customHeight="1" x14ac:dyDescent="0.3">
      <c r="B64" s="31" t="s">
        <v>109</v>
      </c>
      <c r="C64" s="43"/>
      <c r="D64" s="44"/>
      <c r="E64" s="45"/>
      <c r="F64" s="45"/>
    </row>
    <row r="65" spans="2:6" s="6" customFormat="1" ht="16.5" customHeight="1" x14ac:dyDescent="0.15">
      <c r="B65" s="12" t="s">
        <v>110</v>
      </c>
      <c r="C65" s="133" t="s">
        <v>111</v>
      </c>
      <c r="D65" s="133"/>
      <c r="E65" s="33" t="s">
        <v>112</v>
      </c>
      <c r="F65" s="33" t="s">
        <v>122</v>
      </c>
    </row>
    <row r="66" spans="2:6" s="6" customFormat="1" ht="15.95" customHeight="1" x14ac:dyDescent="0.15">
      <c r="B66" s="33" t="s">
        <v>14</v>
      </c>
      <c r="C66" s="143" t="s">
        <v>232</v>
      </c>
      <c r="D66" s="143"/>
      <c r="E66" s="66">
        <f>PERC_SUBSTITUTO_FERIAS</f>
        <v>8.3333333333333321</v>
      </c>
      <c r="F66" s="63">
        <f>PERC_SUBSTITUTO_FERIAS%*(MOD_1_REMUNERACAO+MOD_2_ENCARGOS_BENEFICIOS+MOD_3_PROVISAO_RESCISAO)</f>
        <v>318.30283265863847</v>
      </c>
    </row>
    <row r="67" spans="2:6" s="6" customFormat="1" ht="15.95" customHeight="1" x14ac:dyDescent="0.15">
      <c r="B67" s="33" t="s">
        <v>16</v>
      </c>
      <c r="C67" s="132" t="s">
        <v>234</v>
      </c>
      <c r="D67" s="132"/>
      <c r="E67" s="68">
        <f>PERC_SUBSTITUTO_AUSENCIAS_LEGAIS</f>
        <v>2.2222222222222223</v>
      </c>
      <c r="F67" s="64">
        <f>PERC_SUBSTITUTO_AUSENCIAS_LEGAIS%*(MOD_1_REMUNERACAO+MOD_2_ENCARGOS_BENEFICIOS+MOD_3_PROVISAO_RESCISAO)</f>
        <v>84.880755375636951</v>
      </c>
    </row>
    <row r="68" spans="2:6" s="6" customFormat="1" ht="15.95" customHeight="1" x14ac:dyDescent="0.15">
      <c r="B68" s="33" t="s">
        <v>19</v>
      </c>
      <c r="C68" s="143" t="s">
        <v>236</v>
      </c>
      <c r="D68" s="143"/>
      <c r="E68" s="66">
        <f>PERC_SUBSTITUTO_LICENCA_PATERNIDADE</f>
        <v>3.5673555555555549E-2</v>
      </c>
      <c r="F68" s="63">
        <f>PERC_SUBSTITUTO_LICENCA_PATERNIDADE%*(MOD_1_REMUNERACAO+MOD_2_ENCARGOS_BENEFICIOS+MOD_3_PROVISAO_RESCISAO)</f>
        <v>1.3625992541206373</v>
      </c>
    </row>
    <row r="69" spans="2:6" s="6" customFormat="1" ht="16.5" customHeight="1" x14ac:dyDescent="0.15">
      <c r="B69" s="33" t="s">
        <v>22</v>
      </c>
      <c r="C69" s="132" t="s">
        <v>238</v>
      </c>
      <c r="D69" s="132"/>
      <c r="E69" s="68">
        <f>PERC_SUBSTITUTO_ACID_TRAB</f>
        <v>1.85302229372558E-2</v>
      </c>
      <c r="F69" s="64">
        <f>PERC_SUBSTITUTO_ACID_TRAB%*(MOD_1_REMUNERACAO+MOD_2_ENCARGOS_BENEFICIOS+MOD_3_PROVISAO_RESCISAO)</f>
        <v>0.70778669408695183</v>
      </c>
    </row>
    <row r="70" spans="2:6" s="6" customFormat="1" ht="16.5" customHeight="1" x14ac:dyDescent="0.15">
      <c r="B70" s="33" t="s">
        <v>25</v>
      </c>
      <c r="C70" s="143" t="s">
        <v>240</v>
      </c>
      <c r="D70" s="143"/>
      <c r="E70" s="66">
        <f>PERC_SUBSTITUTO_AFAST_MATERN</f>
        <v>0.14312918399999999</v>
      </c>
      <c r="F70" s="63">
        <f>PERC_SUBSTITUTO_AFAST_MATERN%*(MOD_1_REMUNERACAO+MOD_2_ENCARGOS_BENEFICIOS+MOD_3_PROVISAO_RESCISAO)</f>
        <v>5.4670109643983382</v>
      </c>
    </row>
    <row r="71" spans="2:6" s="6" customFormat="1" x14ac:dyDescent="0.15">
      <c r="B71" s="33" t="s">
        <v>90</v>
      </c>
      <c r="C71" s="160" t="str">
        <f>OUTRAS_AUSENCIAS_DESCRICAO</f>
        <v>Outras Ausências (Especificar - em %)</v>
      </c>
      <c r="D71" s="160"/>
      <c r="E71" s="88">
        <f>PERC_SUBSTITUTO_OUTRAS_AUSENCIAS</f>
        <v>0</v>
      </c>
      <c r="F71" s="64">
        <f>PERC_SUBSTITUTO_OUTRAS_AUSENCIAS%*(MOD_1_REMUNERACAO+MOD_2_ENCARGOS_BENEFICIOS+MOD_3_PROVISAO_RESCISAO)</f>
        <v>0</v>
      </c>
    </row>
    <row r="72" spans="2:6" s="6" customFormat="1" x14ac:dyDescent="0.3">
      <c r="B72" s="138" t="s">
        <v>225</v>
      </c>
      <c r="C72" s="138"/>
      <c r="D72" s="138"/>
      <c r="E72" s="138"/>
      <c r="F72" s="85">
        <f>SUM(F66:F71)</f>
        <v>410.7209849468814</v>
      </c>
    </row>
    <row r="73" spans="2:6" s="6" customFormat="1" ht="15" customHeight="1" x14ac:dyDescent="0.3">
      <c r="B73" s="31" t="s">
        <v>114</v>
      </c>
      <c r="C73" s="43"/>
      <c r="D73" s="44"/>
      <c r="E73" s="45"/>
      <c r="F73" s="45"/>
    </row>
    <row r="74" spans="2:6" s="6" customFormat="1" x14ac:dyDescent="0.15">
      <c r="B74" s="12" t="s">
        <v>115</v>
      </c>
      <c r="C74" s="138" t="s">
        <v>116</v>
      </c>
      <c r="D74" s="138"/>
      <c r="E74" s="138"/>
      <c r="F74" s="33" t="s">
        <v>122</v>
      </c>
    </row>
    <row r="75" spans="2:6" s="6" customFormat="1" ht="16.5" customHeight="1" x14ac:dyDescent="0.15">
      <c r="B75" s="12" t="s">
        <v>14</v>
      </c>
      <c r="C75" s="143" t="s">
        <v>257</v>
      </c>
      <c r="D75" s="143"/>
      <c r="E75" s="143"/>
      <c r="F75" s="82">
        <f>IF(DIAS_TRABALHADOS_NO_MES=15,((MOD_1_REMUNERACAO+MOD_2_ENCARGOS_BENEFICIOS+MOD_3_PROVISAO_RESCISAO)/DIVISOR_DE_HORAS)*((TEMPO_INTERVALO_REFEICAO/HORA_NORMAL)+PERC_HORA_EXTRA%)*DIAS_TRABALHADOS_NO_MES,0)</f>
        <v>0</v>
      </c>
    </row>
    <row r="76" spans="2:6" s="6" customFormat="1" x14ac:dyDescent="0.3">
      <c r="B76" s="138" t="s">
        <v>225</v>
      </c>
      <c r="C76" s="138"/>
      <c r="D76" s="138"/>
      <c r="E76" s="138"/>
      <c r="F76" s="85">
        <f>SUM(F75)</f>
        <v>0</v>
      </c>
    </row>
    <row r="77" spans="2:6" ht="7.5" customHeight="1" x14ac:dyDescent="0.3">
      <c r="B77" s="87"/>
      <c r="D77" s="23"/>
      <c r="E77" s="32"/>
      <c r="F77" s="32"/>
    </row>
    <row r="78" spans="2:6" x14ac:dyDescent="0.3">
      <c r="B78" s="31" t="s">
        <v>120</v>
      </c>
      <c r="C78" s="43"/>
      <c r="D78" s="43"/>
      <c r="E78" s="45"/>
      <c r="F78" s="45"/>
    </row>
    <row r="79" spans="2:6" ht="15.75" customHeight="1" x14ac:dyDescent="0.3">
      <c r="B79" s="46">
        <v>5</v>
      </c>
      <c r="C79" s="139" t="s">
        <v>121</v>
      </c>
      <c r="D79" s="139"/>
      <c r="E79" s="139"/>
      <c r="F79" s="47" t="s">
        <v>122</v>
      </c>
    </row>
    <row r="80" spans="2:6" ht="16.5" customHeight="1" x14ac:dyDescent="0.3">
      <c r="B80" s="48" t="s">
        <v>14</v>
      </c>
      <c r="C80" s="140" t="s">
        <v>258</v>
      </c>
      <c r="D80" s="140"/>
      <c r="E80" s="140"/>
      <c r="F80" s="89">
        <f>'INSERÇÃO-DE-DADOS'!F84</f>
        <v>181.86</v>
      </c>
    </row>
    <row r="81" spans="2:6" ht="16.5" customHeight="1" x14ac:dyDescent="0.3">
      <c r="B81" s="48" t="s">
        <v>16</v>
      </c>
      <c r="C81" s="141" t="s">
        <v>259</v>
      </c>
      <c r="D81" s="141"/>
      <c r="E81" s="141"/>
      <c r="F81" s="90">
        <f>MATERIAIS</f>
        <v>0</v>
      </c>
    </row>
    <row r="82" spans="2:6" ht="16.5" customHeight="1" x14ac:dyDescent="0.3">
      <c r="B82" s="48" t="s">
        <v>19</v>
      </c>
      <c r="C82" s="140" t="s">
        <v>260</v>
      </c>
      <c r="D82" s="140"/>
      <c r="E82" s="140"/>
      <c r="F82" s="89">
        <f>EQUIPAMENTOS</f>
        <v>1.22</v>
      </c>
    </row>
    <row r="83" spans="2:6" x14ac:dyDescent="0.3">
      <c r="B83" s="48" t="s">
        <v>22</v>
      </c>
      <c r="C83" s="161" t="str">
        <f>OUTROS_INSUMOS_DESCRICAO</f>
        <v>Outros (Especificar)</v>
      </c>
      <c r="D83" s="161"/>
      <c r="E83" s="161"/>
      <c r="F83" s="90">
        <f>OUTROS_INSUMOS</f>
        <v>0</v>
      </c>
    </row>
    <row r="84" spans="2:6" ht="16.5" customHeight="1" x14ac:dyDescent="0.3">
      <c r="B84" s="139" t="s">
        <v>225</v>
      </c>
      <c r="C84" s="139"/>
      <c r="D84" s="139"/>
      <c r="E84" s="139"/>
      <c r="F84" s="91">
        <f>SUM(F80:F83)</f>
        <v>183.08</v>
      </c>
    </row>
    <row r="85" spans="2:6" ht="7.5" customHeight="1" x14ac:dyDescent="0.3">
      <c r="B85" s="87"/>
      <c r="D85" s="23"/>
      <c r="E85" s="32"/>
      <c r="F85" s="32"/>
    </row>
    <row r="86" spans="2:6" ht="15" customHeight="1" x14ac:dyDescent="0.3">
      <c r="B86" s="142" t="s">
        <v>159</v>
      </c>
      <c r="C86" s="142"/>
      <c r="D86" s="142"/>
      <c r="E86" s="142"/>
      <c r="F86" s="142"/>
    </row>
    <row r="87" spans="2:6" x14ac:dyDescent="0.3">
      <c r="B87" s="12">
        <v>6</v>
      </c>
      <c r="C87" s="138" t="s">
        <v>160</v>
      </c>
      <c r="D87" s="138"/>
      <c r="E87" s="33" t="s">
        <v>112</v>
      </c>
      <c r="F87" s="33" t="s">
        <v>122</v>
      </c>
    </row>
    <row r="88" spans="2:6" ht="16.5" customHeight="1" x14ac:dyDescent="0.3">
      <c r="B88" s="12" t="s">
        <v>14</v>
      </c>
      <c r="C88" s="143" t="s">
        <v>161</v>
      </c>
      <c r="D88" s="143"/>
      <c r="E88" s="92">
        <f>PERC_CUSTOS_INDIRETOS</f>
        <v>4.7300000000000004</v>
      </c>
      <c r="F88" s="63">
        <f>PERC_CUSTOS_INDIRETOS%*(MOD_1_REMUNERACAO+MOD_2_ENCARGOS_BENEFICIOS+MOD_3_PROVISAO_RESCISAO+MOD_4_CUSTO_REPOSICAO+MOD_5_INSUMOS)</f>
        <v>208.75547440503075</v>
      </c>
    </row>
    <row r="89" spans="2:6" ht="15.75" customHeight="1" x14ac:dyDescent="0.3">
      <c r="B89" s="33" t="s">
        <v>16</v>
      </c>
      <c r="C89" s="132" t="s">
        <v>162</v>
      </c>
      <c r="D89" s="132"/>
      <c r="E89" s="93">
        <f>PERC_LUCRO</f>
        <v>5.45</v>
      </c>
      <c r="F89" s="64">
        <f>PERC_LUCRO%*(MOD_1_REMUNERACAO+MOD_2_ENCARGOS_BENEFICIOS+MOD_3_PROVISAO_RESCISAO+MOD_4_CUSTO_REPOSICAO+MOD_5_INSUMOS+AL_6_A_CUSTOS_INDIRETOS)</f>
        <v>251.90937959342884</v>
      </c>
    </row>
    <row r="90" spans="2:6" ht="16.5" customHeight="1" x14ac:dyDescent="0.3">
      <c r="B90" s="33" t="s">
        <v>19</v>
      </c>
      <c r="C90" s="143" t="s">
        <v>261</v>
      </c>
      <c r="D90" s="143"/>
      <c r="E90" s="92">
        <f>SUM(E91:E93)</f>
        <v>8.65</v>
      </c>
      <c r="F90" s="63">
        <f>SUM(F91:F93)</f>
        <v>461.53216789101128</v>
      </c>
    </row>
    <row r="91" spans="2:6" ht="15.75" customHeight="1" x14ac:dyDescent="0.3">
      <c r="B91" s="54" t="s">
        <v>163</v>
      </c>
      <c r="C91" s="162" t="s">
        <v>164</v>
      </c>
      <c r="D91" s="162"/>
      <c r="E91" s="94">
        <f>PERC_PIS</f>
        <v>0.65</v>
      </c>
      <c r="F91" s="95">
        <f>((MOD_1_REMUNERACAO+MOD_2_ENCARGOS_BENEFICIOS+MOD_3_PROVISAO_RESCISAO+MOD_4_CUSTO_REPOSICAO+MOD_5_INSUMOS+AL_6_A_CUSTOS_INDIRETOS+AL_6_B_LUCRO)*PERC_PIS%)/(1-PERC_TRIBUTOS%)</f>
        <v>34.681607991810097</v>
      </c>
    </row>
    <row r="92" spans="2:6" ht="16.5" customHeight="1" x14ac:dyDescent="0.3">
      <c r="B92" s="54" t="s">
        <v>165</v>
      </c>
      <c r="C92" s="163" t="s">
        <v>166</v>
      </c>
      <c r="D92" s="163"/>
      <c r="E92" s="96">
        <f>PERC_COFINS</f>
        <v>3</v>
      </c>
      <c r="F92" s="97">
        <f>((MOD_1_REMUNERACAO+MOD_2_ENCARGOS_BENEFICIOS+MOD_3_PROVISAO_RESCISAO+MOD_4_CUSTO_REPOSICAO+MOD_5_INSUMOS+AL_6_A_CUSTOS_INDIRETOS+AL_6_B_LUCRO)*PERC_COFINS%)/(1-PERC_TRIBUTOS%)</f>
        <v>160.06895996220044</v>
      </c>
    </row>
    <row r="93" spans="2:6" s="50" customFormat="1" ht="16.5" customHeight="1" x14ac:dyDescent="0.3">
      <c r="B93" s="54" t="s">
        <v>167</v>
      </c>
      <c r="C93" s="162" t="s">
        <v>168</v>
      </c>
      <c r="D93" s="162"/>
      <c r="E93" s="94">
        <f>PERC_ISS</f>
        <v>5</v>
      </c>
      <c r="F93" s="95">
        <f>((MOD_1_REMUNERACAO+MOD_2_ENCARGOS_BENEFICIOS+MOD_3_PROVISAO_RESCISAO+MOD_4_CUSTO_REPOSICAO+MOD_5_INSUMOS+AL_6_A_CUSTOS_INDIRETOS+AL_6_B_LUCRO)*PERC_ISS%)/(1-PERC_TRIBUTOS%)</f>
        <v>266.78159993700075</v>
      </c>
    </row>
    <row r="94" spans="2:6" s="50" customFormat="1" x14ac:dyDescent="0.3">
      <c r="B94" s="138" t="s">
        <v>225</v>
      </c>
      <c r="C94" s="138"/>
      <c r="D94" s="138"/>
      <c r="E94" s="138"/>
      <c r="F94" s="98">
        <f>AL_6_A_CUSTOS_INDIRETOS+AL_6_B_LUCRO+AL_6_C_TRIBUTOS</f>
        <v>922.19702188947088</v>
      </c>
    </row>
    <row r="95" spans="2:6" s="50" customFormat="1" ht="20.25" x14ac:dyDescent="0.3">
      <c r="B95" s="99" t="s">
        <v>262</v>
      </c>
      <c r="C95" s="100"/>
      <c r="D95" s="100"/>
      <c r="E95" s="100"/>
      <c r="F95" s="101"/>
    </row>
    <row r="96" spans="2:6" s="51" customFormat="1" ht="16.5" customHeight="1" x14ac:dyDescent="0.3">
      <c r="B96" s="33" t="s">
        <v>263</v>
      </c>
      <c r="C96" s="133" t="s">
        <v>264</v>
      </c>
      <c r="D96" s="133"/>
      <c r="E96" s="133"/>
      <c r="F96" s="33" t="s">
        <v>265</v>
      </c>
    </row>
    <row r="97" spans="2:6" s="50" customFormat="1" ht="16.5" customHeight="1" x14ac:dyDescent="0.3">
      <c r="B97" s="12">
        <v>1</v>
      </c>
      <c r="C97" s="143" t="s">
        <v>70</v>
      </c>
      <c r="D97" s="143"/>
      <c r="E97" s="143"/>
      <c r="F97" s="63">
        <f>MOD_1_REMUNERACAO</f>
        <v>1743.69</v>
      </c>
    </row>
    <row r="98" spans="2:6" s="52" customFormat="1" ht="16.5" customHeight="1" x14ac:dyDescent="0.3">
      <c r="B98" s="33">
        <v>2</v>
      </c>
      <c r="C98" s="132" t="s">
        <v>266</v>
      </c>
      <c r="D98" s="132"/>
      <c r="E98" s="132"/>
      <c r="F98" s="64">
        <f>MOD_2_ENCARGOS_BENEFICIOS</f>
        <v>2022.3073999999997</v>
      </c>
    </row>
    <row r="99" spans="2:6" s="52" customFormat="1" ht="16.5" customHeight="1" x14ac:dyDescent="0.3">
      <c r="B99" s="33">
        <v>3</v>
      </c>
      <c r="C99" s="143" t="s">
        <v>186</v>
      </c>
      <c r="D99" s="143"/>
      <c r="E99" s="143"/>
      <c r="F99" s="63">
        <f>MOD_3_PROVISAO_RESCISAO</f>
        <v>53.636591903662861</v>
      </c>
    </row>
    <row r="100" spans="2:6" s="52" customFormat="1" ht="16.5" customHeight="1" x14ac:dyDescent="0.3">
      <c r="B100" s="33">
        <v>4</v>
      </c>
      <c r="C100" s="132" t="s">
        <v>267</v>
      </c>
      <c r="D100" s="132"/>
      <c r="E100" s="132"/>
      <c r="F100" s="64">
        <f>MOD_4_CUSTO_REPOSICAO</f>
        <v>410.7209849468814</v>
      </c>
    </row>
    <row r="101" spans="2:6" s="52" customFormat="1" ht="16.5" customHeight="1" x14ac:dyDescent="0.3">
      <c r="B101" s="33">
        <v>5</v>
      </c>
      <c r="C101" s="143" t="s">
        <v>121</v>
      </c>
      <c r="D101" s="143"/>
      <c r="E101" s="143"/>
      <c r="F101" s="63">
        <f>MOD_5_INSUMOS</f>
        <v>183.08</v>
      </c>
    </row>
    <row r="102" spans="2:6" s="52" customFormat="1" ht="16.5" customHeight="1" x14ac:dyDescent="0.3">
      <c r="B102" s="33">
        <v>6</v>
      </c>
      <c r="C102" s="132" t="s">
        <v>160</v>
      </c>
      <c r="D102" s="132"/>
      <c r="E102" s="132"/>
      <c r="F102" s="64">
        <f>MOD_6_CUSTOS_IND_LUCRO_TRIB</f>
        <v>922.19702188947088</v>
      </c>
    </row>
    <row r="103" spans="2:6" ht="16.5" customHeight="1" x14ac:dyDescent="0.3">
      <c r="B103" s="133" t="s">
        <v>268</v>
      </c>
      <c r="C103" s="133"/>
      <c r="D103" s="133"/>
      <c r="E103" s="133"/>
      <c r="F103" s="98">
        <f>SUM(F97:F102)+0.01</f>
        <v>5335.6419987400159</v>
      </c>
    </row>
    <row r="104" spans="2:6" ht="16.5" customHeight="1" x14ac:dyDescent="0.3">
      <c r="B104" s="133" t="s">
        <v>269</v>
      </c>
      <c r="C104" s="133"/>
      <c r="D104" s="133"/>
      <c r="E104" s="133"/>
      <c r="F104" s="98">
        <f>VALOR_TOTAL_EMPREGADO*EMPREG_POR_POSTO</f>
        <v>5335.6419987400159</v>
      </c>
    </row>
    <row r="105" spans="2:6" ht="16.5" customHeight="1" x14ac:dyDescent="0.3">
      <c r="B105" s="133" t="s">
        <v>270</v>
      </c>
      <c r="C105" s="133"/>
      <c r="D105" s="133"/>
      <c r="E105" s="133"/>
      <c r="F105" s="98">
        <f>VALOR_TOTAL_EMPREGADO*EMPREG_POR_POSTO*'INSERÇÃO-DE-DADOS'!F24</f>
        <v>5335.6419987400159</v>
      </c>
    </row>
    <row r="107" spans="2:6" x14ac:dyDescent="0.3">
      <c r="B107" s="4" t="s">
        <v>271</v>
      </c>
    </row>
  </sheetData>
  <mergeCells count="93">
    <mergeCell ref="C102:E102"/>
    <mergeCell ref="B103:E103"/>
    <mergeCell ref="B104:E104"/>
    <mergeCell ref="B105:E105"/>
    <mergeCell ref="C96:E96"/>
    <mergeCell ref="C97:E97"/>
    <mergeCell ref="C98:E98"/>
    <mergeCell ref="C99:E99"/>
    <mergeCell ref="C100:E100"/>
    <mergeCell ref="C101:E101"/>
    <mergeCell ref="B94:E94"/>
    <mergeCell ref="C82:E82"/>
    <mergeCell ref="C83:E83"/>
    <mergeCell ref="B84:E84"/>
    <mergeCell ref="B86:F86"/>
    <mergeCell ref="C87:D87"/>
    <mergeCell ref="C88:D88"/>
    <mergeCell ref="C89:D89"/>
    <mergeCell ref="C90:D90"/>
    <mergeCell ref="C91:D91"/>
    <mergeCell ref="C92:D92"/>
    <mergeCell ref="C93:D93"/>
    <mergeCell ref="C81:E81"/>
    <mergeCell ref="C67:D67"/>
    <mergeCell ref="C68:D68"/>
    <mergeCell ref="C69:D69"/>
    <mergeCell ref="C70:D70"/>
    <mergeCell ref="C71:D71"/>
    <mergeCell ref="B72:E72"/>
    <mergeCell ref="C74:E74"/>
    <mergeCell ref="C75:E75"/>
    <mergeCell ref="B76:E76"/>
    <mergeCell ref="C79:E79"/>
    <mergeCell ref="C80:E80"/>
    <mergeCell ref="C66:D66"/>
    <mergeCell ref="C51:E51"/>
    <mergeCell ref="C52:E52"/>
    <mergeCell ref="C53:E53"/>
    <mergeCell ref="C54:E54"/>
    <mergeCell ref="B55:E55"/>
    <mergeCell ref="C57:D57"/>
    <mergeCell ref="C58:D58"/>
    <mergeCell ref="C59:D59"/>
    <mergeCell ref="C60:D60"/>
    <mergeCell ref="B61:E61"/>
    <mergeCell ref="C65:D65"/>
    <mergeCell ref="C50:E50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B47:E47"/>
    <mergeCell ref="C49:E49"/>
    <mergeCell ref="B37:F37"/>
    <mergeCell ref="C24:E24"/>
    <mergeCell ref="C25:E25"/>
    <mergeCell ref="C26:E26"/>
    <mergeCell ref="C27:E27"/>
    <mergeCell ref="C28:E28"/>
    <mergeCell ref="C29:E29"/>
    <mergeCell ref="B30:E30"/>
    <mergeCell ref="C33:D33"/>
    <mergeCell ref="C34:D34"/>
    <mergeCell ref="C35:D35"/>
    <mergeCell ref="B36:E36"/>
    <mergeCell ref="C23:E23"/>
    <mergeCell ref="C11:E11"/>
    <mergeCell ref="C12:E12"/>
    <mergeCell ref="D15:F15"/>
    <mergeCell ref="D16:F16"/>
    <mergeCell ref="D14:F14"/>
    <mergeCell ref="C17:E17"/>
    <mergeCell ref="B18:F18"/>
    <mergeCell ref="B19:E19"/>
    <mergeCell ref="C21:E21"/>
    <mergeCell ref="C22:E22"/>
    <mergeCell ref="C10:E10"/>
    <mergeCell ref="B1:F1"/>
    <mergeCell ref="B2:D2"/>
    <mergeCell ref="B3:F3"/>
    <mergeCell ref="B4:F4"/>
    <mergeCell ref="B5:C5"/>
    <mergeCell ref="D5:F5"/>
    <mergeCell ref="B6:C6"/>
    <mergeCell ref="D6:E6"/>
    <mergeCell ref="B7:F7"/>
    <mergeCell ref="C8:E8"/>
    <mergeCell ref="D9:F9"/>
  </mergeCells>
  <pageMargins left="0.511811024" right="0.511811024" top="0.78740157499999996" bottom="0.78740157499999996" header="0.31496062000000002" footer="0.31496062000000002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204</vt:i4>
      </vt:variant>
    </vt:vector>
  </HeadingPairs>
  <TitlesOfParts>
    <vt:vector size="215" baseType="lpstr">
      <vt:lpstr>INSERÇÃO-DE-DADOS</vt:lpstr>
      <vt:lpstr>DADOS-ESTATISTICOS</vt:lpstr>
      <vt:lpstr>ENCARGOS-SOCIAIS-E-TRABALHISTAS</vt:lpstr>
      <vt:lpstr>ASSISTENTE ADMINISTRATIVO</vt:lpstr>
      <vt:lpstr>CARREGADOR</vt:lpstr>
      <vt:lpstr>COPEIRO</vt:lpstr>
      <vt:lpstr>ENCARREGADO GERAL</vt:lpstr>
      <vt:lpstr>GARÇOM</vt:lpstr>
      <vt:lpstr>OPERADOR DE MÁQ. REPROGRÁFICA</vt:lpstr>
      <vt:lpstr>RECEPCIONISTA</vt:lpstr>
      <vt:lpstr>QUADRO-RESUMO</vt:lpstr>
      <vt:lpstr>ACORDO_COLETIVO</vt:lpstr>
      <vt:lpstr>'ASSISTENTE ADMINISTRATIVO'!AL_1_A_SAL_BASE</vt:lpstr>
      <vt:lpstr>CARREGADOR!AL_1_A_SAL_BASE</vt:lpstr>
      <vt:lpstr>COPEIRO!AL_1_A_SAL_BASE</vt:lpstr>
      <vt:lpstr>'ENCARREGADO GERAL'!AL_1_A_SAL_BASE</vt:lpstr>
      <vt:lpstr>GARÇOM!AL_1_A_SAL_BASE</vt:lpstr>
      <vt:lpstr>'OPERADOR DE MÁQ. REPROGRÁFICA'!AL_1_A_SAL_BASE</vt:lpstr>
      <vt:lpstr>RECEPCIONISTA!AL_1_A_SAL_BASE</vt:lpstr>
      <vt:lpstr>'ASSISTENTE ADMINISTRATIVO'!AL_1_B_ADIC_PERIC</vt:lpstr>
      <vt:lpstr>CARREGADOR!AL_1_B_ADIC_PERIC</vt:lpstr>
      <vt:lpstr>COPEIRO!AL_1_B_ADIC_PERIC</vt:lpstr>
      <vt:lpstr>'ENCARREGADO GERAL'!AL_1_B_ADIC_PERIC</vt:lpstr>
      <vt:lpstr>GARÇOM!AL_1_B_ADIC_PERIC</vt:lpstr>
      <vt:lpstr>'OPERADOR DE MÁQ. REPROGRÁFICA'!AL_1_B_ADIC_PERIC</vt:lpstr>
      <vt:lpstr>RECEPCIONISTA!AL_1_B_ADIC_PERIC</vt:lpstr>
      <vt:lpstr>'ASSISTENTE ADMINISTRATIVO'!AL_2_2_FGTS</vt:lpstr>
      <vt:lpstr>CARREGADOR!AL_2_2_FGTS</vt:lpstr>
      <vt:lpstr>COPEIRO!AL_2_2_FGTS</vt:lpstr>
      <vt:lpstr>'ENCARREGADO GERAL'!AL_2_2_FGTS</vt:lpstr>
      <vt:lpstr>GARÇOM!AL_2_2_FGTS</vt:lpstr>
      <vt:lpstr>'OPERADOR DE MÁQ. REPROGRÁFICA'!AL_2_2_FGTS</vt:lpstr>
      <vt:lpstr>RECEPCIONISTA!AL_2_2_FGTS</vt:lpstr>
      <vt:lpstr>'ASSISTENTE ADMINISTRATIVO'!AL_6_A_CUSTOS_INDIRETOS</vt:lpstr>
      <vt:lpstr>CARREGADOR!AL_6_A_CUSTOS_INDIRETOS</vt:lpstr>
      <vt:lpstr>COPEIRO!AL_6_A_CUSTOS_INDIRETOS</vt:lpstr>
      <vt:lpstr>'ENCARREGADO GERAL'!AL_6_A_CUSTOS_INDIRETOS</vt:lpstr>
      <vt:lpstr>GARÇOM!AL_6_A_CUSTOS_INDIRETOS</vt:lpstr>
      <vt:lpstr>'OPERADOR DE MÁQ. REPROGRÁFICA'!AL_6_A_CUSTOS_INDIRETOS</vt:lpstr>
      <vt:lpstr>RECEPCIONISTA!AL_6_A_CUSTOS_INDIRETOS</vt:lpstr>
      <vt:lpstr>'ASSISTENTE ADMINISTRATIVO'!AL_6_B_LUCRO</vt:lpstr>
      <vt:lpstr>CARREGADOR!AL_6_B_LUCRO</vt:lpstr>
      <vt:lpstr>COPEIRO!AL_6_B_LUCRO</vt:lpstr>
      <vt:lpstr>'ENCARREGADO GERAL'!AL_6_B_LUCRO</vt:lpstr>
      <vt:lpstr>GARÇOM!AL_6_B_LUCRO</vt:lpstr>
      <vt:lpstr>'OPERADOR DE MÁQ. REPROGRÁFICA'!AL_6_B_LUCRO</vt:lpstr>
      <vt:lpstr>RECEPCIONISTA!AL_6_B_LUCRO</vt:lpstr>
      <vt:lpstr>'ASSISTENTE ADMINISTRATIVO'!AL_6_C_TRIBUTOS</vt:lpstr>
      <vt:lpstr>CARREGADOR!AL_6_C_TRIBUTOS</vt:lpstr>
      <vt:lpstr>COPEIRO!AL_6_C_TRIBUTOS</vt:lpstr>
      <vt:lpstr>'ENCARREGADO GERAL'!AL_6_C_TRIBUTOS</vt:lpstr>
      <vt:lpstr>GARÇOM!AL_6_C_TRIBUTOS</vt:lpstr>
      <vt:lpstr>'OPERADOR DE MÁQ. REPROGRÁFICA'!AL_6_C_TRIBUTOS</vt:lpstr>
      <vt:lpstr>RECEPCIONISTA!AL_6_C_TRIBUTOS</vt:lpstr>
      <vt:lpstr>ALIMENTACAO_POR_DIA</vt:lpstr>
      <vt:lpstr>CATEGORIA_PROFISSIONAL</vt:lpstr>
      <vt:lpstr>CBO</vt:lpstr>
      <vt:lpstr>DATA_APRESENTACAO_PROPOSTA</vt:lpstr>
      <vt:lpstr>DATA_BASE_CATEGORIA</vt:lpstr>
      <vt:lpstr>DATA_DO_ORCAMENTO_ESTIMATIVO</vt:lpstr>
      <vt:lpstr>DATA_LICITACAO</vt:lpstr>
      <vt:lpstr>DIAS_AUSENCIAS_LEGAIS</vt:lpstr>
      <vt:lpstr>DIAS_LICENCA_MATERNIDADE</vt:lpstr>
      <vt:lpstr>DIAS_LICENCA_PATERNIDADE</vt:lpstr>
      <vt:lpstr>DIAS_NA_SEMANA</vt:lpstr>
      <vt:lpstr>DIAS_NO_ANO</vt:lpstr>
      <vt:lpstr>DIAS_NO_MES</vt:lpstr>
      <vt:lpstr>DIAS_PAGOS_EMPRESA_ACID_TRAB</vt:lpstr>
      <vt:lpstr>DIAS_TRABALHADOS_NO_MES</vt:lpstr>
      <vt:lpstr>DIVISOR_DE_HORAS</vt:lpstr>
      <vt:lpstr>EMPREG_POR_POSTO</vt:lpstr>
      <vt:lpstr>EQUIPAMENTOS</vt:lpstr>
      <vt:lpstr>HORA_NORMAL</vt:lpstr>
      <vt:lpstr>HORA_NOTURNA</vt:lpstr>
      <vt:lpstr>HORARIO_LICITACAO</vt:lpstr>
      <vt:lpstr>LOCAL_DE_EXECUCAO</vt:lpstr>
      <vt:lpstr>MATERIAIS</vt:lpstr>
      <vt:lpstr>MEDIA_ANUAL_DIAS_TRABALHO_MES</vt:lpstr>
      <vt:lpstr>MESES_NO_ANO</vt:lpstr>
      <vt:lpstr>'ASSISTENTE ADMINISTRATIVO'!MOD_1_REMUNERACAO</vt:lpstr>
      <vt:lpstr>CARREGADOR!MOD_1_REMUNERACAO</vt:lpstr>
      <vt:lpstr>COPEIRO!MOD_1_REMUNERACAO</vt:lpstr>
      <vt:lpstr>'ENCARREGADO GERAL'!MOD_1_REMUNERACAO</vt:lpstr>
      <vt:lpstr>GARÇOM!MOD_1_REMUNERACAO</vt:lpstr>
      <vt:lpstr>'OPERADOR DE MÁQ. REPROGRÁFICA'!MOD_1_REMUNERACAO</vt:lpstr>
      <vt:lpstr>RECEPCIONISTA!MOD_1_REMUNERACAO</vt:lpstr>
      <vt:lpstr>'ASSISTENTE ADMINISTRATIVO'!MOD_3_PROVISAO_RESCISAO</vt:lpstr>
      <vt:lpstr>CARREGADOR!MOD_3_PROVISAO_RESCISAO</vt:lpstr>
      <vt:lpstr>COPEIRO!MOD_3_PROVISAO_RESCISAO</vt:lpstr>
      <vt:lpstr>'ENCARREGADO GERAL'!MOD_3_PROVISAO_RESCISAO</vt:lpstr>
      <vt:lpstr>GARÇOM!MOD_3_PROVISAO_RESCISAO</vt:lpstr>
      <vt:lpstr>'OPERADOR DE MÁQ. REPROGRÁFICA'!MOD_3_PROVISAO_RESCISAO</vt:lpstr>
      <vt:lpstr>RECEPCIONISTA!MOD_3_PROVISAO_RESCISAO</vt:lpstr>
      <vt:lpstr>'ASSISTENTE ADMINISTRATIVO'!MOD_5_INSUMOS</vt:lpstr>
      <vt:lpstr>CARREGADOR!MOD_5_INSUMOS</vt:lpstr>
      <vt:lpstr>COPEIRO!MOD_5_INSUMOS</vt:lpstr>
      <vt:lpstr>'ENCARREGADO GERAL'!MOD_5_INSUMOS</vt:lpstr>
      <vt:lpstr>GARÇOM!MOD_5_INSUMOS</vt:lpstr>
      <vt:lpstr>'OPERADOR DE MÁQ. REPROGRÁFICA'!MOD_5_INSUMOS</vt:lpstr>
      <vt:lpstr>RECEPCIONISTA!MOD_5_INSUMOS</vt:lpstr>
      <vt:lpstr>'ASSISTENTE ADMINISTRATIVO'!MOD_6_CUSTOS_IND_LUCRO_TRIB</vt:lpstr>
      <vt:lpstr>CARREGADOR!MOD_6_CUSTOS_IND_LUCRO_TRIB</vt:lpstr>
      <vt:lpstr>COPEIRO!MOD_6_CUSTOS_IND_LUCRO_TRIB</vt:lpstr>
      <vt:lpstr>'ENCARREGADO GERAL'!MOD_6_CUSTOS_IND_LUCRO_TRIB</vt:lpstr>
      <vt:lpstr>GARÇOM!MOD_6_CUSTOS_IND_LUCRO_TRIB</vt:lpstr>
      <vt:lpstr>'OPERADOR DE MÁQ. REPROGRÁFICA'!MOD_6_CUSTOS_IND_LUCRO_TRIB</vt:lpstr>
      <vt:lpstr>RECEPCIONISTA!MOD_6_CUSTOS_IND_LUCRO_TRIB</vt:lpstr>
      <vt:lpstr>MODALIDADE_DE_LICITACAO</vt:lpstr>
      <vt:lpstr>NUMERO_MESES_EXEC_CONTRATUAL</vt:lpstr>
      <vt:lpstr>NUMERO_PREGAO</vt:lpstr>
      <vt:lpstr>NUMERO_PROCESSO</vt:lpstr>
      <vt:lpstr>OUTRAS_AUSENCIAS</vt:lpstr>
      <vt:lpstr>OUTRAS_AUSENCIAS_DESCRICAO</vt:lpstr>
      <vt:lpstr>OUTROS_BENEFICIOS_1</vt:lpstr>
      <vt:lpstr>OUTROS_BENEFICIOS_1_DESCRICAO</vt:lpstr>
      <vt:lpstr>OUTROS_BENEFICIOS_2</vt:lpstr>
      <vt:lpstr>OUTROS_BENEFICIOS_2_DESCRICAO</vt:lpstr>
      <vt:lpstr>OUTROS_BENEFICIOS_3</vt:lpstr>
      <vt:lpstr>OUTROS_BENEFICIOS_3_DESCRICAO</vt:lpstr>
      <vt:lpstr>OUTROS_INSUMOS</vt:lpstr>
      <vt:lpstr>OUTROS_INSUMOS_DESCRICAO</vt:lpstr>
      <vt:lpstr>OUTROS_REMUNERACAO_1</vt:lpstr>
      <vt:lpstr>OUTROS_REMUNERACAO_1_DESCRICAO</vt:lpstr>
      <vt:lpstr>OUTROS_REMUNERACAO_2</vt:lpstr>
      <vt:lpstr>OUTROS_REMUNERACAO_2_DESCRICAO</vt:lpstr>
      <vt:lpstr>OUTROS_REMUNERACAO_3</vt:lpstr>
      <vt:lpstr>OUTROS_REMUNERACAO_3_DESCRICAO</vt:lpstr>
      <vt:lpstr>PERC_ADIC_FERIAS</vt:lpstr>
      <vt:lpstr>PERC_ADIC_INS</vt:lpstr>
      <vt:lpstr>PERC_ADIC_NOT</vt:lpstr>
      <vt:lpstr>PERC_ADIC_PERIC</vt:lpstr>
      <vt:lpstr>PERC_AVISO_PREVIO_IND</vt:lpstr>
      <vt:lpstr>PERC_AVISO_PREVIO_TRAB</vt:lpstr>
      <vt:lpstr>PERC_COFINS</vt:lpstr>
      <vt:lpstr>PERC_CUSTOS_INDIRETOS</vt:lpstr>
      <vt:lpstr>PERC_DEC_TERC</vt:lpstr>
      <vt:lpstr>PERC_DESC_TRANSP_REMUNERACAO</vt:lpstr>
      <vt:lpstr>PERC_EMPREG_AFAST_TRAB</vt:lpstr>
      <vt:lpstr>PERC_EMPREG_AVISO_PREVIO_IND</vt:lpstr>
      <vt:lpstr>PERC_EMPREG_AVISO_PREVIO_TRAB</vt:lpstr>
      <vt:lpstr>PERC_EMPREG_DEMIT_SEM_JUSTA_CAUSA_TOTAL_DESLIG</vt:lpstr>
      <vt:lpstr>PERC_FGTS</vt:lpstr>
      <vt:lpstr>PERC_GPS_FGTS</vt:lpstr>
      <vt:lpstr>PERC_HORA_EXTRA</vt:lpstr>
      <vt:lpstr>PERC_INCRA</vt:lpstr>
      <vt:lpstr>PERC_INSS</vt:lpstr>
      <vt:lpstr>PERC_ISS</vt:lpstr>
      <vt:lpstr>PERC_LUCRO</vt:lpstr>
      <vt:lpstr>PERC_MULTA_FGTS</vt:lpstr>
      <vt:lpstr>PERC_MULTA_FGTS_AV_PREV_TRAB</vt:lpstr>
      <vt:lpstr>PERC_NASCIDOS_VIVOS_POPUL_FEM</vt:lpstr>
      <vt:lpstr>PERC_PARTIC_FEM_VIGIL</vt:lpstr>
      <vt:lpstr>PERC_PARTIC_MASC_VIGIL</vt:lpstr>
      <vt:lpstr>PERC_PIS</vt:lpstr>
      <vt:lpstr>PERC_RAT</vt:lpstr>
      <vt:lpstr>PERC_SAL_EDUCACAO</vt:lpstr>
      <vt:lpstr>PERC_SEBRAE</vt:lpstr>
      <vt:lpstr>PERC_SENAC</vt:lpstr>
      <vt:lpstr>PERC_SESC</vt:lpstr>
      <vt:lpstr>PERC_SUBSTITUTO_ACID_TRAB</vt:lpstr>
      <vt:lpstr>PERC_SUBSTITUTO_AFAST_MATERN</vt:lpstr>
      <vt:lpstr>PERC_SUBSTITUTO_AUSENCIAS_LEGAIS</vt:lpstr>
      <vt:lpstr>PERC_SUBSTITUTO_FERIAS</vt:lpstr>
      <vt:lpstr>PERC_SUBSTITUTO_LICENCA_PATERNIDADE</vt:lpstr>
      <vt:lpstr>PERC_SUBSTITUTO_OUTRAS_AUSENCIAS</vt:lpstr>
      <vt:lpstr>'ASSISTENTE ADMINISTRATIVO'!PERC_TRIBUTOS</vt:lpstr>
      <vt:lpstr>CARREGADOR!PERC_TRIBUTOS</vt:lpstr>
      <vt:lpstr>COPEIRO!PERC_TRIBUTOS</vt:lpstr>
      <vt:lpstr>'ENCARREGADO GERAL'!PERC_TRIBUTOS</vt:lpstr>
      <vt:lpstr>GARÇOM!PERC_TRIBUTOS</vt:lpstr>
      <vt:lpstr>'OPERADOR DE MÁQ. REPROGRÁFICA'!PERC_TRIBUTOS</vt:lpstr>
      <vt:lpstr>RECEPCIONISTA!PERC_TRIBUTOS</vt:lpstr>
      <vt:lpstr>'ASSISTENTE ADMINISTRATIVO'!QTDE_POSTOS</vt:lpstr>
      <vt:lpstr>CARREGADOR!QTDE_POSTOS</vt:lpstr>
      <vt:lpstr>COPEIRO!QTDE_POSTOS</vt:lpstr>
      <vt:lpstr>'ENCARREGADO GERAL'!QTDE_POSTOS</vt:lpstr>
      <vt:lpstr>GARÇOM!QTDE_POSTOS</vt:lpstr>
      <vt:lpstr>'OPERADOR DE MÁQ. REPROGRÁFICA'!QTDE_POSTOS</vt:lpstr>
      <vt:lpstr>RECEPCIONISTA!QTDE_POSTOS</vt:lpstr>
      <vt:lpstr>RAMO</vt:lpstr>
      <vt:lpstr>SAL_MINIMO</vt:lpstr>
      <vt:lpstr>SALARIO_BASE</vt:lpstr>
      <vt:lpstr>'ASSISTENTE ADMINISTRATIVO'!SUBMOD_2_1_DEC_TERC_ADIC_FERIAS</vt:lpstr>
      <vt:lpstr>CARREGADOR!SUBMOD_2_1_DEC_TERC_ADIC_FERIAS</vt:lpstr>
      <vt:lpstr>COPEIRO!SUBMOD_2_1_DEC_TERC_ADIC_FERIAS</vt:lpstr>
      <vt:lpstr>'ENCARREGADO GERAL'!SUBMOD_2_1_DEC_TERC_ADIC_FERIAS</vt:lpstr>
      <vt:lpstr>GARÇOM!SUBMOD_2_1_DEC_TERC_ADIC_FERIAS</vt:lpstr>
      <vt:lpstr>'OPERADOR DE MÁQ. REPROGRÁFICA'!SUBMOD_2_1_DEC_TERC_ADIC_FERIAS</vt:lpstr>
      <vt:lpstr>RECEPCIONISTA!SUBMOD_2_1_DEC_TERC_ADIC_FERIAS</vt:lpstr>
      <vt:lpstr>'ASSISTENTE ADMINISTRATIVO'!SUBMOD_2_2_GPS_FGTS</vt:lpstr>
      <vt:lpstr>CARREGADOR!SUBMOD_2_2_GPS_FGTS</vt:lpstr>
      <vt:lpstr>COPEIRO!SUBMOD_2_2_GPS_FGTS</vt:lpstr>
      <vt:lpstr>'ENCARREGADO GERAL'!SUBMOD_2_2_GPS_FGTS</vt:lpstr>
      <vt:lpstr>GARÇOM!SUBMOD_2_2_GPS_FGTS</vt:lpstr>
      <vt:lpstr>'OPERADOR DE MÁQ. REPROGRÁFICA'!SUBMOD_2_2_GPS_FGTS</vt:lpstr>
      <vt:lpstr>RECEPCIONISTA!SUBMOD_2_2_GPS_FGTS</vt:lpstr>
      <vt:lpstr>'ASSISTENTE ADMINISTRATIVO'!SUBMOD_2_3_BENEFICIOS</vt:lpstr>
      <vt:lpstr>CARREGADOR!SUBMOD_2_3_BENEFICIOS</vt:lpstr>
      <vt:lpstr>COPEIRO!SUBMOD_2_3_BENEFICIOS</vt:lpstr>
      <vt:lpstr>'ENCARREGADO GERAL'!SUBMOD_2_3_BENEFICIOS</vt:lpstr>
      <vt:lpstr>GARÇOM!SUBMOD_2_3_BENEFICIOS</vt:lpstr>
      <vt:lpstr>'OPERADOR DE MÁQ. REPROGRÁFICA'!SUBMOD_2_3_BENEFICIOS</vt:lpstr>
      <vt:lpstr>RECEPCIONISTA!SUBMOD_2_3_BENEFICIOS</vt:lpstr>
      <vt:lpstr>TEMPO_INTERVALO_REFEICAO</vt:lpstr>
      <vt:lpstr>TIPO_DE_SERVICO</vt:lpstr>
      <vt:lpstr>TRANSPORTE_POR_DIA</vt:lpstr>
      <vt:lpstr>UG</vt:lpstr>
      <vt:lpstr>UNIFORMES</vt:lpstr>
      <vt:lpstr>'ASSISTENTE ADMINISTRATIVO'!VALOR_TOTAL_EMPREGADO</vt:lpstr>
      <vt:lpstr>CARREGADOR!VALOR_TOTAL_EMPREGADO</vt:lpstr>
      <vt:lpstr>COPEIRO!VALOR_TOTAL_EMPREGADO</vt:lpstr>
      <vt:lpstr>'ENCARREGADO GERAL'!VALOR_TOTAL_EMPREGADO</vt:lpstr>
      <vt:lpstr>GARÇOM!VALOR_TOTAL_EMPREGADO</vt:lpstr>
      <vt:lpstr>'OPERADOR DE MÁQ. REPROGRÁFICA'!VALOR_TOTAL_EMPREGADO</vt:lpstr>
      <vt:lpstr>RECEPCIONISTA!VALOR_TOTAL_EMPREGADO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Felipe Flores da Silva</dc:creator>
  <cp:keywords/>
  <dc:description/>
  <cp:lastModifiedBy>Flávia Estefânia Borges Tegoshi</cp:lastModifiedBy>
  <cp:revision>1</cp:revision>
  <dcterms:created xsi:type="dcterms:W3CDTF">2014-02-07T18:14:59Z</dcterms:created>
  <dcterms:modified xsi:type="dcterms:W3CDTF">2025-03-11T21:38:38Z</dcterms:modified>
  <cp:category/>
  <cp:contentStatus/>
</cp:coreProperties>
</file>