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W:\SA_CLCE\CLCE 2025\PREGÕES ELETRÔNICOS\PE 02 -  Limpeza\"/>
    </mc:Choice>
  </mc:AlternateContent>
  <xr:revisionPtr revIDLastSave="0" documentId="8_{1E1E353D-48E1-4C34-B72F-C295F6BB3D54}" xr6:coauthVersionLast="47" xr6:coauthVersionMax="47" xr10:uidLastSave="{00000000-0000-0000-0000-000000000000}"/>
  <bookViews>
    <workbookView xWindow="-120" yWindow="-120" windowWidth="29040" windowHeight="15720" tabRatio="950" firstSheet="7" activeTab="7" xr2:uid="{00000000-000D-0000-FFFF-FFFF00000000}"/>
  </bookViews>
  <sheets>
    <sheet name="INSERÇÃO-DE-DADOS" sheetId="11" r:id="rId1"/>
    <sheet name="DADOS-ESTATISTICOS" sheetId="23" r:id="rId2"/>
    <sheet name="ENCARGOS-SOCIAIS-E-TRABALHISTAS" sheetId="12" r:id="rId3"/>
    <sheet name="ENCARREGADOS" sheetId="16" r:id="rId4"/>
    <sheet name="SERVENTES" sheetId="14" r:id="rId5"/>
    <sheet name="JARDINEIRO" sheetId="20" r:id="rId6"/>
    <sheet name="CUSTOS POR M²" sheetId="15" r:id="rId7"/>
    <sheet name="QUADRO-RESUMO" sheetId="19" r:id="rId8"/>
    <sheet name="LIMITES-SEGES-PORT-7-2015" sheetId="17" state="hidden" r:id="rId9"/>
    <sheet name="LIMITES-SEGES-PORT-213-2017" sheetId="18" state="hidden" r:id="rId10"/>
    <sheet name="QTDE-ESTIMADA-SERVENTES" sheetId="22" state="hidden" r:id="rId11"/>
  </sheets>
  <definedNames>
    <definedName name="ACORDO_COLETIVO">'INSERÇÃO-DE-DADOS'!$F$14</definedName>
    <definedName name="ADIC_INSALUB_ENC">'INSERÇÃO-DE-DADOS'!$D$19</definedName>
    <definedName name="ADIC_INSALUB_SERV">'INSERÇÃO-DE-DADOS'!$D$20</definedName>
    <definedName name="ADIC_INSALUB_SERV_HOSP">'INSERÇÃO-DE-DADOS'!$D$21</definedName>
    <definedName name="AL_1_A_SAL_BASE_ENC" localSheetId="3">ENCARREGADOS!$F$21</definedName>
    <definedName name="AL_1_A_SAL_BASE_SERV" localSheetId="4">SERVENTES!$F$21</definedName>
    <definedName name="AL_1_A_SAL_BASE_SERV_HOSP" localSheetId="5">JARDINEIRO!$F$21</definedName>
    <definedName name="AL_1_C_OUTROS_REM_1_ENC" localSheetId="3">ENCARREGADOS!$F$23</definedName>
    <definedName name="AL_1_C_OUTROS_REM_1_SERV">SERVENTES!$F$23</definedName>
    <definedName name="AL_1_D_OUTROS_REM_2_ENC">ENCARREGADOS!$F$24</definedName>
    <definedName name="AL_1_D_OUTROS_REM_2_SERV">SERVENTES!$F$24</definedName>
    <definedName name="AL_1_E_OUTROS_REM_3_ENC" localSheetId="4">ENCARREGADOS!$F$25</definedName>
    <definedName name="AL_1_E_OUTROS_REM_3_SERV">SERVENTES!$F$25</definedName>
    <definedName name="AL_2_1_A_DEC_TERC_ENC" localSheetId="4">ENCARREGADOS!$F$30</definedName>
    <definedName name="AL_2_1_A_DEC_TERC_SERV" localSheetId="3">SERVENTES!$F$30</definedName>
    <definedName name="AL_2_1_B_ADIC_FERIAS_ENC" localSheetId="3">ENCARREGADOS!$F$31</definedName>
    <definedName name="AL_2_1_B_ADIC_FERIAS_SERV" localSheetId="4">SERVENTES!$F$31</definedName>
    <definedName name="AL_2_2_FGTS_ENC" localSheetId="3">ENCARREGADOS!$F$42</definedName>
    <definedName name="AL_2_2_FGTS_SERV" localSheetId="4">SERVENTES!$F$42</definedName>
    <definedName name="AL_2_2_FGTS_SERV_HOSP" localSheetId="5">JARDINEIRO!$F$42</definedName>
    <definedName name="AL_2_3_A_TRANSP_ENC" localSheetId="3">ENCARREGADOS!$F$46</definedName>
    <definedName name="AL_2_3_A_TRANSP_SERV" localSheetId="4">SERVENTES!$F$46</definedName>
    <definedName name="AL_2_3_B_AUX_ALIMENT_ENC" localSheetId="3">ENCARREGADOS!$F$47</definedName>
    <definedName name="AL_2_3_B_AUX_ALIMENT_SERV" localSheetId="4">SERVENTES!$F$47</definedName>
    <definedName name="AL_2_3_C_OUTROS_BENEF_1_ENC" localSheetId="3">ENCARREGADOS!$F$48</definedName>
    <definedName name="AL_2_3_C_OUTROS_BENEF_1_SERV" localSheetId="4">SERVENTES!$F$48</definedName>
    <definedName name="AL_2_A_ATE_2_G_GPS_ENC" localSheetId="3">ENCARREGADOS!$F$35:$F$41</definedName>
    <definedName name="AL_2_A_ATE_2_G_GPS_SERV" localSheetId="4">SERVENTES!$F$35:$F$41</definedName>
    <definedName name="AL_6_A_CUSTOS_INDIRETOS_ENC" localSheetId="3">ENCARREGADOS!$F$81</definedName>
    <definedName name="AL_6_A_CUSTOS_INDIRETOS_SERV" localSheetId="4">SERVENTES!$F$81</definedName>
    <definedName name="AL_6_A_CUSTOS_INDIRETOS_SERV_HOSP" localSheetId="5">JARDINEIRO!$F$81</definedName>
    <definedName name="AL_6_B_LUCRO_ENC" localSheetId="3">ENCARREGADOS!$F$82</definedName>
    <definedName name="AL_6_B_LUCRO_SERV" localSheetId="4">SERVENTES!$F$82</definedName>
    <definedName name="AL_6_B_LUCRO_SERV_HOSP" localSheetId="5">JARDINEIRO!$F$82</definedName>
    <definedName name="AL_6_C_1_PIS_ENC" localSheetId="3">ENCARREGADOS!$F$84</definedName>
    <definedName name="AL_6_C_1_PIS_SERV" localSheetId="4">SERVENTES!$F$84</definedName>
    <definedName name="AL_6_C_2_COFINS_ENC" localSheetId="3">ENCARREGADOS!$F$85</definedName>
    <definedName name="AL_6_C_2_COFINS_SERV" localSheetId="4">SERVENTES!$F$85</definedName>
    <definedName name="AL_6_C_3_ISS_ENC" localSheetId="3">ENCARREGADOS!$F$86</definedName>
    <definedName name="AL_6_C_3_ISS_SERV" localSheetId="4">SERVENTES!$F$86</definedName>
    <definedName name="AL_6_C_TRIBUTOS_ENC" localSheetId="3">ENCARREGADOS!$F$83</definedName>
    <definedName name="AL_6_C_TRIBUTOS_SERV" localSheetId="4">SERVENTES!$F$83</definedName>
    <definedName name="AL_6_C_TRIBUTOS_SERV_HOSP" localSheetId="5">JARDINEIRO!$F$83</definedName>
    <definedName name="ALIMENTACAO_POR_DIA">'INSERÇÃO-DE-DADOS'!$F$42</definedName>
    <definedName name="AREA_ESQ_EXTERNA_ANEXOS">'INSERÇÃO-DE-DADOS'!$J$11</definedName>
    <definedName name="AREA_ESQ_EXTERNA_PTMS_PRMS">'INSERÇÃO-DE-DADOS'!$K$11</definedName>
    <definedName name="AREA_ESQ_EXTERNA_SEDE">'INSERÇÃO-DE-DADOS'!$I$11</definedName>
    <definedName name="AREA_ESQ_EXTERNA_TOTAL">'INSERÇÃO-DE-DADOS'!$L$11</definedName>
    <definedName name="AREA_EXTERNA_ANEXOS">'INSERÇÃO-DE-DADOS'!$J$10</definedName>
    <definedName name="AREA_EXTERNA_PTMS_PRMS">'INSERÇÃO-DE-DADOS'!$K$10</definedName>
    <definedName name="AREA_EXTERNA_SEDE">'INSERÇÃO-DE-DADOS'!$I$10</definedName>
    <definedName name="AREA_EXTERNA_TOTAL">'INSERÇÃO-DE-DADOS'!$L$10</definedName>
    <definedName name="AREA_FACHADA_ENVID_ANEXOS">'INSERÇÃO-DE-DADOS'!$J$12</definedName>
    <definedName name="AREA_FACHADA_ENVID_PTMS_PRMS">'INSERÇÃO-DE-DADOS'!$K$12</definedName>
    <definedName name="AREA_FACHADA_ENVID_SEDE">'INSERÇÃO-DE-DADOS'!$I$12</definedName>
    <definedName name="AREA_FACHADA_ENVID_TOTAL">'INSERÇÃO-DE-DADOS'!$L$12</definedName>
    <definedName name="AREA_INTERNA_ANEXOS">'INSERÇÃO-DE-DADOS'!$J$9</definedName>
    <definedName name="AREA_INTERNA_PTMS_PRMS">'INSERÇÃO-DE-DADOS'!$K$9</definedName>
    <definedName name="AREA_INTERNA_SEDE">'INSERÇÃO-DE-DADOS'!$I$9</definedName>
    <definedName name="AREA_INTERNA_TOTAL">'INSERÇÃO-DE-DADOS'!$L$9</definedName>
    <definedName name="AREA_MED_HOSP_ANEXOS">'INSERÇÃO-DE-DADOS'!$J$13</definedName>
    <definedName name="AREA_MED_HOSP_PTMS_PRMS">'INSERÇÃO-DE-DADOS'!$K$13</definedName>
    <definedName name="AREA_MED_HOSP_SEDE">'INSERÇÃO-DE-DADOS'!$I$13</definedName>
    <definedName name="AREA_MED_HOSP_TOTAL">'INSERÇÃO-DE-DADOS'!$L$13</definedName>
    <definedName name="CARGA_HORARIA_SEMANAL">'DADOS-ESTATISTICOS'!$F$11</definedName>
    <definedName name="CATEGORIA_PROFISSIONAL_ENC">'INSERÇÃO-DE-DADOS'!$C$19</definedName>
    <definedName name="CATEGORIA_PROFISSIONAL_SERV">'INSERÇÃO-DE-DADOS'!$C$20</definedName>
    <definedName name="CATEGORIA_PROFISSIONAL_SERV_HOSP">'INSERÇÃO-DE-DADOS'!$C$21</definedName>
    <definedName name="CBO">'INSERÇÃO-DE-DADOS'!$D$25</definedName>
    <definedName name="COEF_KI_ESQ_EXTERNA_ENC">'CUSTOS POR M²'!$F$29</definedName>
    <definedName name="COEF_KI_ESQ_EXTERNA_SERV">'CUSTOS POR M²'!$F$30</definedName>
    <definedName name="COEF_KI_FACHADA_ENVID_ENC">'CUSTOS POR M²'!$F$37</definedName>
    <definedName name="COEF_KI_FACHADA_ENVID_SERV">'CUSTOS POR M²'!$F$38</definedName>
    <definedName name="CUSTO_M2_AREA_EXTERNA">'CUSTOS POR M²'!$E$22</definedName>
    <definedName name="CUSTO_M2_AREA_EXTERNA_ENC">'CUSTOS POR M²'!$E$20</definedName>
    <definedName name="CUSTO_M2_AREA_EXTERNA_SERV">'CUSTOS POR M²'!$E$21</definedName>
    <definedName name="CUSTO_M2_AREA_HOSPITALAR_ENC">'CUSTOS POR M²'!$E$44</definedName>
    <definedName name="CUSTO_M2_AREA_HOSPITALAR_SERV">'CUSTOS POR M²'!$E$45</definedName>
    <definedName name="CUSTO_M2_AREA_INTERNA">'CUSTOS POR M²'!$E$14</definedName>
    <definedName name="CUSTO_M2_AREA_INTERNA_ENC">'CUSTOS POR M²'!$E$12</definedName>
    <definedName name="CUSTO_M2_AREA_INTERNA_SERV">'CUSTOS POR M²'!$E$13</definedName>
    <definedName name="CUSTO_M2_AREA_MED_HOSP">'CUSTOS POR M²'!$E$46</definedName>
    <definedName name="CUSTO_M2_ESQ_EXTERNA">'CUSTOS POR M²'!$H$31</definedName>
    <definedName name="CUSTO_M2_ESQ_EXTERNA_ENC">'CUSTOS POR M²'!$H$29</definedName>
    <definedName name="CUSTO_M2_ESQ_EXTERNA_SERV">'CUSTOS POR M²'!$H$30</definedName>
    <definedName name="CUSTO_M2_FACHADA_ENVID">'CUSTOS POR M²'!$H$39</definedName>
    <definedName name="CUSTO_M2_FACHADA_ENVID_ENC">'CUSTOS POR M²'!$H$37</definedName>
    <definedName name="CUSTO_M2_FACHADA_ENVID_SERV">'CUSTOS POR M²'!$H$38</definedName>
    <definedName name="DATA_APRESENTACAO_PROPOSTA">'INSERÇÃO-DE-DADOS'!$F$11</definedName>
    <definedName name="DATA_BASE_CATEGORIA">'INSERÇÃO-DE-DADOS'!$F$26</definedName>
    <definedName name="DATA_DO_ORCAMENTO_ESTIMATIVO">'INSERÇÃO-DE-DADOS'!$F$2</definedName>
    <definedName name="DATA_LICITACAO">'INSERÇÃO-DE-DADOS'!$D$8</definedName>
    <definedName name="DIAS_AUSENCIAS_LEGAIS">'DADOS-ESTATISTICOS'!$F$29</definedName>
    <definedName name="DIAS_LICENCA_MATERNIDADE">'DADOS-ESTATISTICOS'!$F$35</definedName>
    <definedName name="DIAS_LICENCA_PATERNIDADE">'DADOS-ESTATISTICOS'!$F$30</definedName>
    <definedName name="DIAS_NA_SEMANA">'DADOS-ESTATISTICOS'!$F$5</definedName>
    <definedName name="DIAS_NO_ANO">'DADOS-ESTATISTICOS'!$F$6</definedName>
    <definedName name="DIAS_NO_MES">'DADOS-ESTATISTICOS'!$F$24</definedName>
    <definedName name="DIAS_PAGOS_EMPRESA_ACID_TRAB">'DADOS-ESTATISTICOS'!$F$34</definedName>
    <definedName name="DIAS_TRABALHADOS_NO_MES">'INSERÇÃO-DE-DADOS'!$F$43</definedName>
    <definedName name="DIVISOR_DE_HORAS">'DADOS-ESTATISTICOS'!$F$4</definedName>
    <definedName name="ENCARREGADO_DE_LIMPEZA">'INSERÇÃO-DE-DADOS'!$C$19</definedName>
    <definedName name="EQUIPAMENTOS">'INSERÇÃO-DE-DADOS'!$F$66</definedName>
    <definedName name="FREQ_ESQ_EXTERNA">'INSERÇÃO-DE-DADOS'!$N$11</definedName>
    <definedName name="FREQ_FACHADA_ENVID">'INSERÇÃO-DE-DADOS'!$N$12</definedName>
    <definedName name="HORA_NORMAL">'DADOS-ESTATISTICOS'!$F$10</definedName>
    <definedName name="HORARIO_LICITACAO">'INSERÇÃO-DE-DADOS'!$F$8</definedName>
    <definedName name="JORNADA_MES_ESQ_EXTERNA_ENC">'CUSTOS POR M²'!$E$29</definedName>
    <definedName name="JORNADA_MES_ESQ_EXTERNA_SERV">'CUSTOS POR M²'!$E$30</definedName>
    <definedName name="JORNADA_MES_FACHADA_ENVID_ENC">'CUSTOS POR M²'!$E$37</definedName>
    <definedName name="JORNADA_MES_FACHADA_ENVID_SERV">'CUSTOS POR M²'!$E$38</definedName>
    <definedName name="LOCAL_DE_EXECUCAO">'INSERÇÃO-DE-DADOS'!$D$12</definedName>
    <definedName name="MATERIAIS">'INSERÇÃO-DE-DADOS'!$F$63</definedName>
    <definedName name="MEDIA_ANUAL_DIAS_TRABALHO_MES">'DADOS-ESTATISTICOS'!$F$7</definedName>
    <definedName name="MESES_NO_ANO">'DADOS-ESTATISTICOS'!$F$8</definedName>
    <definedName name="MESES_NO_SEMESTRE">'DADOS-ESTATISTICOS'!$F$9</definedName>
    <definedName name="MOD_1_REMUNERACAO_ENC" localSheetId="3">ENCARREGADOS!$F$26</definedName>
    <definedName name="MOD_1_REMUNERACAO_SERV" localSheetId="4">SERVENTES!$F$26</definedName>
    <definedName name="MOD_1_REMUNERACAO_SERV_HOSP" localSheetId="5">JARDINEIRO!$F$26</definedName>
    <definedName name="MOD_2_ENCARGOS_BENEFICIOS_ENC" localSheetId="3">ENCARREGADOS!$F$32+ENCARREGADOS!$F$43+ENCARREGADOS!$F$51</definedName>
    <definedName name="MOD_2_ENCARGOS_BENEFICIOS_SERV" localSheetId="4">SERVENTES!$F$32+SERVENTES!$F$43+SERVENTES!$F$51</definedName>
    <definedName name="MOD_2_ENCARGOS_BENEFICIOS_SERV_HOSP" localSheetId="5">JARDINEIRO!$F$32+JARDINEIRO!$F$43+JARDINEIRO!$F$51</definedName>
    <definedName name="MOD_3_PROVISAO_RESCISAO_ENC" localSheetId="3">ENCARREGADOS!$F$57</definedName>
    <definedName name="MOD_3_PROVISAO_RESCISAO_SERV" localSheetId="4">SERVENTES!$F$57</definedName>
    <definedName name="MOD_3_PROVISAO_RESCISAO_SERV_HOSP" localSheetId="5">JARDINEIRO!$F$57</definedName>
    <definedName name="MOD_4_CUSTO_REPOSICAO_ENC" localSheetId="3">ENCARREGADOS!$F$67+ENCARREGADOS!$F$71</definedName>
    <definedName name="MOD_4_CUSTO_REPOSICAO_SERV" localSheetId="4">SERVENTES!$F$67+SERVENTES!$F$71</definedName>
    <definedName name="MOD_4_CUSTO_REPOSICAO_SERV_HOSP" localSheetId="5">JARDINEIRO!$F$67+JARDINEIRO!$F$71</definedName>
    <definedName name="MOD_5_INSUMOS_ENC" localSheetId="3">ENCARREGADOS!$F$78</definedName>
    <definedName name="MOD_5_INSUMOS_SERV" localSheetId="4">SERVENTES!$F$78</definedName>
    <definedName name="MOD_5_INSUMOS_SERV_HOSP" localSheetId="5">JARDINEIRO!$F$78</definedName>
    <definedName name="MOD_6_CUSTOS_IND_LUCRO_TRIB_ENC" localSheetId="3">ENCARREGADOS!$F$87</definedName>
    <definedName name="MOD_6_CUSTOS_IND_LUCRO_TRIB_SERV" localSheetId="4">SERVENTES!$F$87</definedName>
    <definedName name="MOD_6_CUSTOS_IND_LUCRO_TRIB_SERV_HOSP" localSheetId="5">JARDINEIRO!$F$87</definedName>
    <definedName name="MODALIDADE_DE_LICITACAO">'INSERÇÃO-DE-DADOS'!$D$7</definedName>
    <definedName name="NUMERO_MESES_EXEC_CONTRATUAL">'INSERÇÃO-DE-DADOS'!$F$15</definedName>
    <definedName name="NUMERO_PREGAO">'INSERÇÃO-DE-DADOS'!$F$7</definedName>
    <definedName name="NUMERO_PROCESSO">'INSERÇÃO-DE-DADOS'!$D$6</definedName>
    <definedName name="OUTRAS_AUSENCIAS">'ENCARGOS-SOCIAIS-E-TRABALHISTAS'!$E$31</definedName>
    <definedName name="OUTRAS_AUSENCIAS_DESCRICAO">'INSERÇÃO-DE-DADOS'!$C$51</definedName>
    <definedName name="OUTROS_BENEFICIOS_1">'INSERÇÃO-DE-DADOS'!$F$44</definedName>
    <definedName name="OUTROS_BENEFICIOS_1_DESCRICAO">'INSERÇÃO-DE-DADOS'!$C$44</definedName>
    <definedName name="OUTROS_BENEFICIOS_2">'INSERÇÃO-DE-DADOS'!$F$45</definedName>
    <definedName name="OUTROS_BENEFICIOS_2_DESCRICAO">'INSERÇÃO-DE-DADOS'!$C$45</definedName>
    <definedName name="OUTROS_BENEFICIOS_3">'INSERÇÃO-DE-DADOS'!$F$46</definedName>
    <definedName name="OUTROS_BENEFICIOS_3_DESCRICAO">'INSERÇÃO-DE-DADOS'!$C$46</definedName>
    <definedName name="OUTROS_INSUMOS">'INSERÇÃO-DE-DADOS'!$F$69</definedName>
    <definedName name="OUTROS_INSUMOS_DESCRICAO">'INSERÇÃO-DE-DADOS'!$C$69</definedName>
    <definedName name="OUTROS_REMUNERACAO_1">'INSERÇÃO-DE-DADOS'!$F$33</definedName>
    <definedName name="OUTROS_REMUNERACAO_1_DESCRICAO">'INSERÇÃO-DE-DADOS'!$C$33</definedName>
    <definedName name="OUTROS_REMUNERACAO_2">'INSERÇÃO-DE-DADOS'!$F$34</definedName>
    <definedName name="OUTROS_REMUNERACAO_2_DESCRICAO">'INSERÇÃO-DE-DADOS'!$C$34:$E$34</definedName>
    <definedName name="OUTROS_REMUNERACAO_3">'INSERÇÃO-DE-DADOS'!$F$35</definedName>
    <definedName name="OUTROS_REMUNERACAO_3_DESCRICAO">'INSERÇÃO-DE-DADOS'!$C$35:$E$35</definedName>
    <definedName name="PERC_ADIC_FERIAS">'ENCARGOS-SOCIAIS-E-TRABALHISTAS'!$E$6</definedName>
    <definedName name="PERC_ADIC_INSALUB">'INSERÇÃO-DE-DADOS'!$F$32</definedName>
    <definedName name="PERC_AVISO_PREVIO_IND">'ENCARGOS-SOCIAIS-E-TRABALHISTAS'!$E$20</definedName>
    <definedName name="PERC_AVISO_PREVIO_TRAB">'ENCARGOS-SOCIAIS-E-TRABALHISTAS'!$E$21</definedName>
    <definedName name="PERC_COFINS">'INSERÇÃO-DE-DADOS'!$F$76</definedName>
    <definedName name="PERC_CONTRIB_SOCIAL">'DADOS-ESTATISTICOS'!#REF!</definedName>
    <definedName name="PERC_CUSTOS_INDIRETOS">'INSERÇÃO-DE-DADOS'!$F$73</definedName>
    <definedName name="PERC_DEC_TERC">'ENCARGOS-SOCIAIS-E-TRABALHISTAS'!$E$5</definedName>
    <definedName name="PERC_DESC_TRANSP_REMUNERACAO">'DADOS-ESTATISTICOS'!$F$16</definedName>
    <definedName name="PERC_EMPREG_AFAST_TRAB">'DADOS-ESTATISTICOS'!$F$33</definedName>
    <definedName name="PERC_EMPREG_AVISO_PREVIO_IND">'DADOS-ESTATISTICOS'!$F$21</definedName>
    <definedName name="PERC_EMPREG_AVISO_PREVIO_TRAB">'DADOS-ESTATISTICOS'!$F$23</definedName>
    <definedName name="PERC_EMPREG_DEMIT_SEM_JUSTA_CAUSA_TOTAL_DESLIG">'DADOS-ESTATISTICOS'!$F$20</definedName>
    <definedName name="PERC_FGTS">'ENCARGOS-SOCIAIS-E-TRABALHISTAS'!$E$16</definedName>
    <definedName name="PERC_FGTS_AVISO_PREV_IND">'ENCARGOS-SOCIAIS-E-TRABALHISTAS'!#REF!</definedName>
    <definedName name="PERC_GPS_FGTS">'ENCARGOS-SOCIAIS-E-TRABALHISTAS'!$E$17</definedName>
    <definedName name="PERC_GPS_FGTS_AVISO_PREVIO_TRAB">'ENCARGOS-SOCIAIS-E-TRABALHISTAS'!#REF!</definedName>
    <definedName name="PERC_HORA_EXTRA">'INSERÇÃO-DE-DADOS'!$F$55</definedName>
    <definedName name="PERC_INCRA">'ENCARGOS-SOCIAIS-E-TRABALHISTAS'!$E$15</definedName>
    <definedName name="PERC_INSS">'ENCARGOS-SOCIAIS-E-TRABALHISTAS'!$E$9</definedName>
    <definedName name="PERC_ISS">'INSERÇÃO-DE-DADOS'!$F$77</definedName>
    <definedName name="PERC_LUCRO">'INSERÇÃO-DE-DADOS'!$F$74</definedName>
    <definedName name="PERC_MOD_3_PROVISAO_RESCISAO" localSheetId="3">ENCARREGADOS!$E$57</definedName>
    <definedName name="PERC_MOD_3_PROVISAO_RESCISAO" localSheetId="4">SERVENTES!$E$57</definedName>
    <definedName name="PERC_MULTA_FGTS">'DADOS-ESTATISTICOS'!$F$22</definedName>
    <definedName name="PERC_MULTA_FGTS_AV_PREV_IND">'ENCARGOS-SOCIAIS-E-TRABALHISTAS'!#REF!</definedName>
    <definedName name="PERC_MULTA_FGTS_AV_PREV_TRAB">'ENCARGOS-SOCIAIS-E-TRABALHISTAS'!$E$22</definedName>
    <definedName name="PERC_NASCIDOS_VIVOS_POPUL_FEM">'DADOS-ESTATISTICOS'!$F$31</definedName>
    <definedName name="PERC_PARTIC_FEM_VIGIL">'DADOS-ESTATISTICOS'!$F$36</definedName>
    <definedName name="PERC_PARTIC_MASC_VIGIL">'DADOS-ESTATISTICOS'!$F$32</definedName>
    <definedName name="PERC_PIS">'INSERÇÃO-DE-DADOS'!$F$75</definedName>
    <definedName name="PERC_RAT">'ENCARGOS-SOCIAIS-E-TRABALHISTAS'!$E$11</definedName>
    <definedName name="PERC_SAL_EDUCACAO">'ENCARGOS-SOCIAIS-E-TRABALHISTAS'!$E$10</definedName>
    <definedName name="PERC_SEBRAE">'ENCARGOS-SOCIAIS-E-TRABALHISTAS'!$E$14</definedName>
    <definedName name="PERC_SENAC">'ENCARGOS-SOCIAIS-E-TRABALHISTAS'!$E$13</definedName>
    <definedName name="PERC_SESC">'ENCARGOS-SOCIAIS-E-TRABALHISTAS'!$E$12</definedName>
    <definedName name="PERC_SUBSTITUTO_ACID_TRAB">'ENCARGOS-SOCIAIS-E-TRABALHISTAS'!$E$29</definedName>
    <definedName name="PERC_SUBSTITUTO_AFAST_MATERN">'ENCARGOS-SOCIAIS-E-TRABALHISTAS'!$E$30</definedName>
    <definedName name="PERC_SUBSTITUTO_AUSENCIAS_LEGAIS">'ENCARGOS-SOCIAIS-E-TRABALHISTAS'!$E$27</definedName>
    <definedName name="PERC_SUBSTITUTO_FERIAS">'ENCARGOS-SOCIAIS-E-TRABALHISTAS'!$E$26</definedName>
    <definedName name="PERC_SUBSTITUTO_LICENCA_PATERNIDADE">'ENCARGOS-SOCIAIS-E-TRABALHISTAS'!$E$28</definedName>
    <definedName name="PERC_SUBSTITUTO_OUTRAS_AUSENCIAS">'INSERÇÃO-DE-DADOS'!$F$51</definedName>
    <definedName name="PERC_TRIBUTOS" localSheetId="3">ENCARREGADOS!$E$83</definedName>
    <definedName name="PERC_TRIBUTOS" localSheetId="5">JARDINEIRO!$E$83</definedName>
    <definedName name="PERC_TRIBUTOS" localSheetId="4">SERVENTES!$E$83</definedName>
    <definedName name="PORTARIA_LIMITES">'INSERÇÃO-DE-DADOS'!$N$4</definedName>
    <definedName name="PRODUT_AREA_ESQ_EXTERNA">'INSERÇÃO-DE-DADOS'!$M$11</definedName>
    <definedName name="PRODUT_AREA_EXTERNA">'INSERÇÃO-DE-DADOS'!$M$10</definedName>
    <definedName name="PRODUT_AREA_FACHADA_ENVID">'INSERÇÃO-DE-DADOS'!$M$12</definedName>
    <definedName name="PRODUT_AREA_HOSPITALAR">'INSERÇÃO-DE-DADOS'!$M$13</definedName>
    <definedName name="PRODUT_AREA_INTERNA">'INSERÇÃO-DE-DADOS'!$M$9</definedName>
    <definedName name="QTDE_DE_ENC">'INSERÇÃO-DE-DADOS'!$E$19</definedName>
    <definedName name="QTDE_DE_SERV">'INSERÇÃO-DE-DADOS'!$E$20</definedName>
    <definedName name="QTDE_DE_SERV_HOSP">'INSERÇÃO-DE-DADOS'!$E$21</definedName>
    <definedName name="QTDE_ESTIMADA_SERVENTES">'QTDE-ESTIMADA-SERVENTES'!$D$10</definedName>
    <definedName name="RAMO">'INSERÇÃO-DE-DADOS'!$B$1</definedName>
    <definedName name="RELACAO_SERVENTES_ENCARREGADOS">'INSERÇÃO-DE-DADOS'!$N$15</definedName>
    <definedName name="SAL_MINIMO">'INSERÇÃO-DE-DADOS'!$F$27</definedName>
    <definedName name="SALARIO_NORMATIVO_ENC">'INSERÇÃO-DE-DADOS'!$F$19</definedName>
    <definedName name="SALARIO_NORMATIVO_SERV">'INSERÇÃO-DE-DADOS'!$F$20</definedName>
    <definedName name="SALARIO_NORMATIVO_SERV_HOSP">'INSERÇÃO-DE-DADOS'!$F$21</definedName>
    <definedName name="SERVENTE">'INSERÇÃO-DE-DADOS'!$C$20</definedName>
    <definedName name="SERVENTE_AREA_HOSPITALAR">'INSERÇÃO-DE-DADOS'!$C$21</definedName>
    <definedName name="SUBMOD_2_1_DEC_TERC_ADIC_FERIAS_ENC" localSheetId="3">ENCARREGADOS!$F$32</definedName>
    <definedName name="SUBMOD_2_1_DEC_TERC_ADIC_FERIAS_SERV" localSheetId="4">SERVENTES!$F$32</definedName>
    <definedName name="SUBMOD_2_1_DEC_TERC_ADIC_FERIAS_SERV_HOSP" localSheetId="5">JARDINEIRO!$F$32</definedName>
    <definedName name="SUBMOD_2_2_GPS_FGTS_ENC" localSheetId="3">ENCARREGADOS!$F$43</definedName>
    <definedName name="SUBMOD_2_2_GPS_FGTS_SERV" localSheetId="4">SERVENTES!$F$43</definedName>
    <definedName name="SUBMOD_2_2_GPS_FGTS_SERV_HOSP" localSheetId="5">JARDINEIRO!$F$43</definedName>
    <definedName name="SUBMOD_2_3_BENEFICIOS_ENC" localSheetId="3">ENCARREGADOS!$F$51</definedName>
    <definedName name="SUBMOD_2_3_BENEFICIOS_SERV" localSheetId="4">SERVENTES!$F$51</definedName>
    <definedName name="SUBMOD_2_3_BENEFICIOS_SERV_HOSP" localSheetId="5">JARDINEIRO!$F$51</definedName>
    <definedName name="SUBMOD_4_1_SUBSTITUTO_ENC" localSheetId="3">ENCARREGADOS!$F$67</definedName>
    <definedName name="SUBMOD_4_1_SUBSTITUTO_SERV" localSheetId="4">SERVENTES!$F$67</definedName>
    <definedName name="SUBMOD_4_2_INTRAJORNADA_ENC" localSheetId="3">ENCARREGADOS!$F$71</definedName>
    <definedName name="SUBMOD_4_2_INTRAJORNADA_SERV" localSheetId="4">SERVENTES!$F$71</definedName>
    <definedName name="TEMPO_INTERVALO_REFEICAO">'INSERÇÃO-DE-DADOS'!$F$56</definedName>
    <definedName name="TIPO_DE_SERVICO">'INSERÇÃO-DE-DADOS'!$E$24</definedName>
    <definedName name="TRANSPORTE_POR_DIA">'INSERÇÃO-DE-DADOS'!$F$41</definedName>
    <definedName name="UF">'INSERÇÃO-DE-DADOS'!$F$13</definedName>
    <definedName name="UG">'INSERÇÃO-DE-DADOS'!$B$2</definedName>
    <definedName name="UNIFORMES">'INSERÇÃO-DE-DADOS'!$F$60</definedName>
    <definedName name="VALOR_LIMITE_CONTRATACAO_POR_AREA">'CUSTOS POR M²'!$G$58</definedName>
    <definedName name="VALOR_LIMITES_AREA_EXTERNA">'CUSTOS POR M²'!$G$54</definedName>
    <definedName name="VALOR_LIMITES_AREA_INTERNA">'CUSTOS POR M²'!$G$53</definedName>
    <definedName name="VALOR_LIMITES_ESQ_EXTERNA">'CUSTOS POR M²'!$G$55</definedName>
    <definedName name="VALOR_LIMITES_FACHADA_ENVID">'CUSTOS POR M²'!$G$56</definedName>
    <definedName name="VALOR_TOTAL_ENC" localSheetId="3">ENCARREGADOS!$F$96</definedName>
    <definedName name="VALOR_TOTAL_SERV" localSheetId="3">SERVENTES!$F$96</definedName>
    <definedName name="VALOR_TOTAL_SERV">SERVENTES!$F$96</definedName>
    <definedName name="VALOR_TOTAL_SERV_HOSP" localSheetId="4">JARDINEIRO!$F$96</definedName>
    <definedName name="VALOR_TOTAL_SERV_HOSP">JARDINEIRO!$F$96</definedName>
  </definedNames>
  <calcPr calcId="191028" fullPrecision="0"/>
  <customWorkbookViews>
    <customWorkbookView name="teste" guid="{E22B0E03-E710-4313-B9E5-0BFE52A7E677}" maximized="1" xWindow="-8" yWindow="-8" windowWidth="1936" windowHeight="1056" tabRatio="899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9" l="1"/>
  <c r="G13" i="19" s="1"/>
  <c r="G14" i="19" s="1"/>
  <c r="G10" i="19"/>
  <c r="F76" i="20"/>
  <c r="F75" i="20"/>
  <c r="F74" i="20"/>
  <c r="F76" i="14"/>
  <c r="F75" i="14"/>
  <c r="F74" i="14"/>
  <c r="D16" i="20" l="1"/>
  <c r="K33" i="18" l="1"/>
  <c r="L33" i="18"/>
  <c r="M33" i="18"/>
  <c r="N33" i="18"/>
  <c r="O33" i="18"/>
  <c r="P33" i="18"/>
  <c r="Q33" i="18"/>
  <c r="R33" i="18"/>
  <c r="C33" i="18"/>
  <c r="C35" i="18" s="1"/>
  <c r="C34" i="18"/>
  <c r="C32" i="17"/>
  <c r="C34" i="17" s="1"/>
  <c r="C33" i="17"/>
  <c r="F41" i="23" l="1"/>
  <c r="F40" i="23"/>
  <c r="E20" i="12" l="1"/>
  <c r="E26" i="19" l="1"/>
  <c r="G26" i="19"/>
  <c r="E29" i="15" l="1"/>
  <c r="E30" i="15"/>
  <c r="F30" i="15" s="1"/>
  <c r="L12" i="11"/>
  <c r="C29" i="15"/>
  <c r="E8" i="19"/>
  <c r="E6" i="19"/>
  <c r="F21" i="16"/>
  <c r="F33" i="23" l="1"/>
  <c r="E7" i="19" l="1"/>
  <c r="E9" i="19" s="1"/>
  <c r="D8" i="19"/>
  <c r="D7" i="19"/>
  <c r="D6" i="19"/>
  <c r="F2" i="19" l="1"/>
  <c r="H2" i="15"/>
  <c r="F2" i="20"/>
  <c r="F2" i="14"/>
  <c r="F2" i="16"/>
  <c r="F12" i="20"/>
  <c r="F17" i="20"/>
  <c r="F12" i="14"/>
  <c r="F12" i="16"/>
  <c r="D9" i="20"/>
  <c r="D9" i="14"/>
  <c r="D9" i="16"/>
  <c r="C9" i="22" l="1"/>
  <c r="C8" i="22"/>
  <c r="C7" i="22"/>
  <c r="C6" i="22"/>
  <c r="C5" i="22"/>
  <c r="C20" i="15" l="1"/>
  <c r="C36" i="19" l="1"/>
  <c r="C35" i="19"/>
  <c r="E34" i="18" l="1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D33" i="18"/>
  <c r="E33" i="18"/>
  <c r="E35" i="18" s="1"/>
  <c r="F33" i="18"/>
  <c r="F35" i="18" s="1"/>
  <c r="G33" i="18"/>
  <c r="G35" i="18" s="1"/>
  <c r="H33" i="18"/>
  <c r="H35" i="18" s="1"/>
  <c r="I33" i="18"/>
  <c r="I35" i="18" s="1"/>
  <c r="J33" i="18"/>
  <c r="J35" i="18" s="1"/>
  <c r="K35" i="18"/>
  <c r="L35" i="18"/>
  <c r="M35" i="18"/>
  <c r="N35" i="18"/>
  <c r="O35" i="18"/>
  <c r="P35" i="18"/>
  <c r="Q35" i="18"/>
  <c r="R35" i="18"/>
  <c r="F22" i="20" l="1"/>
  <c r="F22" i="14"/>
  <c r="F22" i="16"/>
  <c r="D30" i="15"/>
  <c r="E38" i="15" l="1"/>
  <c r="F38" i="15" s="1"/>
  <c r="E37" i="15"/>
  <c r="F37" i="15" s="1"/>
  <c r="D8" i="22" s="1"/>
  <c r="F29" i="15" l="1"/>
  <c r="C44" i="15"/>
  <c r="D38" i="15"/>
  <c r="D37" i="15"/>
  <c r="D29" i="15"/>
  <c r="C38" i="15"/>
  <c r="C37" i="15"/>
  <c r="C12" i="15"/>
  <c r="C45" i="15"/>
  <c r="C30" i="15"/>
  <c r="C21" i="15"/>
  <c r="C13" i="15"/>
  <c r="B2" i="15" l="1"/>
  <c r="B1" i="15"/>
  <c r="D16" i="14"/>
  <c r="F23" i="16"/>
  <c r="F46" i="16"/>
  <c r="L9" i="11"/>
  <c r="F21" i="20"/>
  <c r="F46" i="20" s="1"/>
  <c r="F21" i="14"/>
  <c r="F46" i="14" s="1"/>
  <c r="L10" i="11"/>
  <c r="D6" i="22" s="1"/>
  <c r="L11" i="11"/>
  <c r="D7" i="22" s="1"/>
  <c r="L13" i="11"/>
  <c r="I14" i="11"/>
  <c r="J14" i="11"/>
  <c r="K14" i="11"/>
  <c r="E86" i="20"/>
  <c r="E85" i="20"/>
  <c r="E84" i="20"/>
  <c r="E82" i="20"/>
  <c r="E81" i="20"/>
  <c r="F77" i="20"/>
  <c r="C77" i="20"/>
  <c r="E66" i="20"/>
  <c r="C66" i="20"/>
  <c r="F50" i="20"/>
  <c r="C50" i="20"/>
  <c r="F49" i="20"/>
  <c r="C49" i="20"/>
  <c r="F48" i="20"/>
  <c r="C48" i="20"/>
  <c r="F47" i="20"/>
  <c r="E41" i="20"/>
  <c r="E40" i="20"/>
  <c r="E39" i="20"/>
  <c r="E38" i="20"/>
  <c r="E37" i="20"/>
  <c r="E36" i="20"/>
  <c r="E35" i="20"/>
  <c r="F25" i="20"/>
  <c r="C25" i="20"/>
  <c r="F24" i="20"/>
  <c r="C24" i="20"/>
  <c r="F23" i="20"/>
  <c r="C23" i="20"/>
  <c r="E14" i="20"/>
  <c r="F11" i="20"/>
  <c r="F10" i="20"/>
  <c r="F8" i="20"/>
  <c r="F6" i="20"/>
  <c r="D6" i="20"/>
  <c r="D5" i="20"/>
  <c r="B2" i="20"/>
  <c r="B1" i="20"/>
  <c r="D5" i="22" l="1"/>
  <c r="D9" i="22"/>
  <c r="B9" i="22"/>
  <c r="C56" i="15"/>
  <c r="B8" i="22"/>
  <c r="B7" i="22"/>
  <c r="C54" i="15"/>
  <c r="B6" i="22"/>
  <c r="C53" i="15"/>
  <c r="B5" i="22"/>
  <c r="C55" i="15"/>
  <c r="C57" i="15"/>
  <c r="L14" i="11"/>
  <c r="F78" i="20"/>
  <c r="F94" i="20" s="1"/>
  <c r="E83" i="20"/>
  <c r="F26" i="20"/>
  <c r="F19" i="19" s="1"/>
  <c r="F51" i="20"/>
  <c r="C31" i="12"/>
  <c r="E31" i="12"/>
  <c r="D10" i="22" l="1"/>
  <c r="F90" i="20"/>
  <c r="F17" i="19"/>
  <c r="E17" i="19"/>
  <c r="D17" i="19"/>
  <c r="C8" i="19"/>
  <c r="C7" i="19"/>
  <c r="C6" i="19"/>
  <c r="B2" i="19"/>
  <c r="B1" i="19"/>
  <c r="D34" i="18" l="1"/>
  <c r="D35" i="18"/>
  <c r="J33" i="17"/>
  <c r="I33" i="17"/>
  <c r="J32" i="17"/>
  <c r="J34" i="17" s="1"/>
  <c r="I32" i="17"/>
  <c r="I34" i="17" s="1"/>
  <c r="H33" i="17"/>
  <c r="G33" i="17"/>
  <c r="F33" i="17"/>
  <c r="E33" i="17"/>
  <c r="D33" i="17"/>
  <c r="H32" i="17"/>
  <c r="H34" i="17" s="1"/>
  <c r="G32" i="17"/>
  <c r="G34" i="17" s="1"/>
  <c r="F32" i="17"/>
  <c r="F34" i="17" s="1"/>
  <c r="E32" i="17"/>
  <c r="E34" i="17" s="1"/>
  <c r="D32" i="17"/>
  <c r="D34" i="17" s="1"/>
  <c r="E86" i="16" l="1"/>
  <c r="E85" i="16"/>
  <c r="E84" i="16"/>
  <c r="E82" i="16"/>
  <c r="E81" i="16"/>
  <c r="F77" i="16"/>
  <c r="C77" i="16"/>
  <c r="F76" i="16"/>
  <c r="F75" i="16"/>
  <c r="F74" i="16"/>
  <c r="E66" i="16"/>
  <c r="C66" i="16"/>
  <c r="F50" i="16"/>
  <c r="C50" i="16"/>
  <c r="F49" i="16"/>
  <c r="C49" i="16"/>
  <c r="F48" i="16"/>
  <c r="C48" i="16"/>
  <c r="F47" i="16"/>
  <c r="E41" i="16"/>
  <c r="E40" i="16"/>
  <c r="E39" i="16"/>
  <c r="E38" i="16"/>
  <c r="E37" i="16"/>
  <c r="E36" i="16"/>
  <c r="E35" i="16"/>
  <c r="F25" i="16"/>
  <c r="C25" i="16"/>
  <c r="F24" i="16"/>
  <c r="C24" i="16"/>
  <c r="C23" i="16"/>
  <c r="F17" i="16"/>
  <c r="D16" i="16"/>
  <c r="E14" i="16"/>
  <c r="F11" i="16"/>
  <c r="F10" i="16"/>
  <c r="F8" i="16"/>
  <c r="F6" i="16"/>
  <c r="D6" i="16"/>
  <c r="D5" i="16"/>
  <c r="B2" i="16"/>
  <c r="B1" i="16"/>
  <c r="F26" i="16" l="1"/>
  <c r="D19" i="19" s="1"/>
  <c r="F51" i="16"/>
  <c r="F78" i="16"/>
  <c r="F94" i="16" s="1"/>
  <c r="E83" i="16"/>
  <c r="F90" i="16" l="1"/>
  <c r="E86" i="14" l="1"/>
  <c r="E85" i="14"/>
  <c r="E84" i="14"/>
  <c r="E82" i="14"/>
  <c r="E81" i="14"/>
  <c r="F77" i="14"/>
  <c r="C77" i="14"/>
  <c r="E66" i="14"/>
  <c r="C66" i="14"/>
  <c r="F50" i="14"/>
  <c r="C50" i="14"/>
  <c r="F49" i="14"/>
  <c r="C49" i="14"/>
  <c r="F48" i="14"/>
  <c r="C48" i="14"/>
  <c r="F47" i="14"/>
  <c r="E41" i="14"/>
  <c r="E40" i="14"/>
  <c r="E39" i="14"/>
  <c r="E38" i="14"/>
  <c r="E37" i="14"/>
  <c r="E36" i="14"/>
  <c r="E35" i="14"/>
  <c r="F25" i="14"/>
  <c r="C25" i="14"/>
  <c r="F24" i="14"/>
  <c r="C24" i="14"/>
  <c r="F23" i="14"/>
  <c r="C23" i="14"/>
  <c r="F17" i="14"/>
  <c r="D15" i="14"/>
  <c r="E14" i="14"/>
  <c r="F11" i="14"/>
  <c r="F10" i="14"/>
  <c r="F8" i="14"/>
  <c r="F6" i="14"/>
  <c r="D6" i="14"/>
  <c r="D5" i="14"/>
  <c r="B2" i="14"/>
  <c r="B1" i="14"/>
  <c r="E83" i="14" l="1"/>
  <c r="F51" i="14"/>
  <c r="F78" i="14"/>
  <c r="F94" i="14" s="1"/>
  <c r="F26" i="14" l="1"/>
  <c r="E19" i="19" s="1"/>
  <c r="F90" i="14" l="1"/>
  <c r="E5" i="12" l="1"/>
  <c r="E6" i="12"/>
  <c r="E21" i="12"/>
  <c r="E22" i="12" s="1"/>
  <c r="E26" i="12"/>
  <c r="E27" i="12"/>
  <c r="E28" i="12"/>
  <c r="E29" i="12"/>
  <c r="E75" i="11"/>
  <c r="E76" i="11"/>
  <c r="E77" i="11"/>
  <c r="E63" i="20" l="1"/>
  <c r="E64" i="20"/>
  <c r="E61" i="20"/>
  <c r="E54" i="20"/>
  <c r="E62" i="20"/>
  <c r="E31" i="20"/>
  <c r="F31" i="20"/>
  <c r="E55" i="20"/>
  <c r="E30" i="20"/>
  <c r="F30" i="20"/>
  <c r="E30" i="16"/>
  <c r="F30" i="16"/>
  <c r="E64" i="16"/>
  <c r="E63" i="16"/>
  <c r="E62" i="16"/>
  <c r="E61" i="16"/>
  <c r="E55" i="16"/>
  <c r="E54" i="16"/>
  <c r="F31" i="16"/>
  <c r="E31" i="16"/>
  <c r="E64" i="14"/>
  <c r="E55" i="14"/>
  <c r="E62" i="14"/>
  <c r="E54" i="14"/>
  <c r="E63" i="14"/>
  <c r="E31" i="14"/>
  <c r="F31" i="14"/>
  <c r="E61" i="14"/>
  <c r="E30" i="14"/>
  <c r="F30" i="14"/>
  <c r="F32" i="16" l="1"/>
  <c r="F32" i="20"/>
  <c r="F32" i="14"/>
  <c r="F37" i="14" l="1"/>
  <c r="F38" i="20"/>
  <c r="F41" i="14"/>
  <c r="F37" i="20"/>
  <c r="F35" i="20"/>
  <c r="F40" i="20"/>
  <c r="F39" i="20"/>
  <c r="F41" i="20"/>
  <c r="F36" i="20"/>
  <c r="F38" i="14"/>
  <c r="F39" i="14"/>
  <c r="F36" i="14"/>
  <c r="F40" i="14"/>
  <c r="F35" i="14"/>
  <c r="F35" i="16"/>
  <c r="F36" i="16"/>
  <c r="F41" i="16"/>
  <c r="F37" i="16"/>
  <c r="F39" i="16"/>
  <c r="F40" i="16"/>
  <c r="F38" i="16"/>
  <c r="E42" i="16" l="1"/>
  <c r="E42" i="20"/>
  <c r="E42" i="14"/>
  <c r="E56" i="20"/>
  <c r="F42" i="14"/>
  <c r="F54" i="14" s="1"/>
  <c r="F42" i="20"/>
  <c r="F43" i="20" s="1"/>
  <c r="F42" i="16"/>
  <c r="F43" i="16" s="1"/>
  <c r="E17" i="12"/>
  <c r="E30" i="12" l="1"/>
  <c r="E65" i="16" s="1"/>
  <c r="E56" i="16"/>
  <c r="F56" i="16"/>
  <c r="F54" i="20"/>
  <c r="F91" i="16"/>
  <c r="F55" i="16"/>
  <c r="F55" i="20"/>
  <c r="F91" i="20"/>
  <c r="E65" i="20"/>
  <c r="F54" i="16"/>
  <c r="F56" i="14"/>
  <c r="F43" i="14"/>
  <c r="F56" i="20"/>
  <c r="E56" i="14"/>
  <c r="E65" i="14"/>
  <c r="F57" i="16" l="1"/>
  <c r="F70" i="16" s="1"/>
  <c r="F71" i="16" s="1"/>
  <c r="F57" i="20"/>
  <c r="F55" i="14"/>
  <c r="F57" i="14" s="1"/>
  <c r="F91" i="14"/>
  <c r="F92" i="20" l="1"/>
  <c r="F70" i="20"/>
  <c r="F71" i="20" s="1"/>
  <c r="F92" i="14"/>
  <c r="F70" i="14"/>
  <c r="F71" i="14" s="1"/>
  <c r="F65" i="20"/>
  <c r="F61" i="20"/>
  <c r="F66" i="20"/>
  <c r="F63" i="20"/>
  <c r="F62" i="20"/>
  <c r="F64" i="20"/>
  <c r="F66" i="14"/>
  <c r="F63" i="14"/>
  <c r="F64" i="14"/>
  <c r="F62" i="14"/>
  <c r="F92" i="16"/>
  <c r="F61" i="16"/>
  <c r="F65" i="16"/>
  <c r="F62" i="16"/>
  <c r="F63" i="16"/>
  <c r="F66" i="16"/>
  <c r="F64" i="16"/>
  <c r="F61" i="14"/>
  <c r="F65" i="14"/>
  <c r="F67" i="16" l="1"/>
  <c r="D18" i="19" s="1"/>
  <c r="D20" i="19" s="1"/>
  <c r="F67" i="20"/>
  <c r="F67" i="14"/>
  <c r="F81" i="20" l="1"/>
  <c r="F82" i="20" s="1"/>
  <c r="F85" i="20" s="1"/>
  <c r="F18" i="19"/>
  <c r="F20" i="19" s="1"/>
  <c r="F81" i="14"/>
  <c r="F82" i="14" s="1"/>
  <c r="F86" i="14" s="1"/>
  <c r="E18" i="19"/>
  <c r="E20" i="19" s="1"/>
  <c r="F93" i="20"/>
  <c r="F93" i="14"/>
  <c r="F93" i="16"/>
  <c r="F81" i="16"/>
  <c r="F85" i="14" l="1"/>
  <c r="F84" i="14"/>
  <c r="F82" i="16"/>
  <c r="F86" i="16" s="1"/>
  <c r="F84" i="20"/>
  <c r="F86" i="20"/>
  <c r="F83" i="14" l="1"/>
  <c r="F87" i="14" s="1"/>
  <c r="F95" i="14" s="1"/>
  <c r="F96" i="14" s="1"/>
  <c r="E36" i="19" s="1"/>
  <c r="F85" i="16"/>
  <c r="F84" i="16"/>
  <c r="F83" i="20"/>
  <c r="F87" i="20" s="1"/>
  <c r="F95" i="20" s="1"/>
  <c r="F96" i="20" s="1"/>
  <c r="G30" i="15" l="1"/>
  <c r="E13" i="15"/>
  <c r="H30" i="15"/>
  <c r="E55" i="15" s="1"/>
  <c r="G8" i="19"/>
  <c r="F8" i="19"/>
  <c r="D21" i="15"/>
  <c r="H38" i="15"/>
  <c r="E56" i="15" s="1"/>
  <c r="G38" i="15"/>
  <c r="G7" i="19"/>
  <c r="D13" i="15"/>
  <c r="F7" i="19"/>
  <c r="E21" i="15"/>
  <c r="E54" i="15" s="1"/>
  <c r="F83" i="16"/>
  <c r="F87" i="16" s="1"/>
  <c r="F95" i="16" s="1"/>
  <c r="F96" i="16" s="1"/>
  <c r="E35" i="19" s="1"/>
  <c r="E37" i="19" s="1"/>
  <c r="E45" i="15"/>
  <c r="E57" i="15" s="1"/>
  <c r="D45" i="15"/>
  <c r="F36" i="19" l="1"/>
  <c r="E53" i="15"/>
  <c r="F6" i="19"/>
  <c r="G6" i="19"/>
  <c r="E20" i="15"/>
  <c r="E22" i="15" s="1"/>
  <c r="D12" i="15"/>
  <c r="G29" i="15"/>
  <c r="H29" i="15"/>
  <c r="H31" i="15" s="1"/>
  <c r="D44" i="15"/>
  <c r="G37" i="15"/>
  <c r="E12" i="15"/>
  <c r="H37" i="15"/>
  <c r="H39" i="15" s="1"/>
  <c r="G56" i="15" s="1"/>
  <c r="E44" i="15"/>
  <c r="E46" i="15" s="1"/>
  <c r="D20" i="15"/>
  <c r="E14" i="15" l="1"/>
  <c r="G53" i="15" s="1"/>
  <c r="F35" i="19"/>
  <c r="D55" i="15"/>
  <c r="G54" i="15"/>
  <c r="D54" i="15"/>
  <c r="D56" i="15"/>
  <c r="D53" i="15"/>
  <c r="D57" i="15"/>
  <c r="F57" i="15"/>
  <c r="G57" i="15"/>
  <c r="F56" i="15"/>
  <c r="D30" i="19"/>
  <c r="G30" i="19" l="1"/>
  <c r="H30" i="19" s="1"/>
  <c r="E30" i="19"/>
  <c r="F30" i="19" s="1"/>
  <c r="D28" i="19"/>
  <c r="F54" i="15"/>
  <c r="F53" i="15"/>
  <c r="D27" i="19"/>
  <c r="F55" i="15"/>
  <c r="G55" i="15"/>
  <c r="F37" i="19" s="1"/>
  <c r="G35" i="19" s="1"/>
  <c r="D29" i="19"/>
  <c r="G29" i="19" l="1"/>
  <c r="H29" i="19" s="1"/>
  <c r="E29" i="19"/>
  <c r="F29" i="19" s="1"/>
  <c r="E28" i="19"/>
  <c r="F28" i="19" s="1"/>
  <c r="G28" i="19"/>
  <c r="H28" i="19" s="1"/>
  <c r="E27" i="19"/>
  <c r="F27" i="19" s="1"/>
  <c r="G27" i="19"/>
  <c r="H27" i="19" s="1"/>
  <c r="G58" i="15"/>
</calcChain>
</file>

<file path=xl/sharedStrings.xml><?xml version="1.0" encoding="utf-8"?>
<sst xmlns="http://schemas.openxmlformats.org/spreadsheetml/2006/main" count="1002" uniqueCount="354">
  <si>
    <t>RAMO: ESCOLA SUPERIOR DO MINISTÉRIO PÚBLICO DA UNIÃO</t>
  </si>
  <si>
    <t>INFORMAÇÕES SOBRE O LOCAL ONDE OS SERVIÇOS DE LIMPEZA E CONSERVAÇÃO SERÃO EXECUTADOS</t>
  </si>
  <si>
    <t>UNIDADE GESTORA (SIGLA): ESMPU</t>
  </si>
  <si>
    <t>DATA:</t>
  </si>
  <si>
    <t>CUSTOS REFERENTES A SERVIÇOS DE LIMPEZA E CONSERVAÇÃO</t>
  </si>
  <si>
    <t>PORTARIA VIGENTE À ÉPOCA DA CONTRATAÇÃO</t>
  </si>
  <si>
    <t>Nº</t>
  </si>
  <si>
    <t>Dados referentes à licitação</t>
  </si>
  <si>
    <t>ÁREAS FÍSICAS A SEREM LIMPAS (em m²)</t>
  </si>
  <si>
    <t>Nº do Processo (X.XX.XXX.XXXXXX/XXXX-XX)</t>
  </si>
  <si>
    <t>0.01.000.1.003275/2024-64</t>
  </si>
  <si>
    <t>TIPO DE ÁREA
(1)</t>
  </si>
  <si>
    <t>EDIFÍCIO-SEDE</t>
  </si>
  <si>
    <t>ANEXOS</t>
  </si>
  <si>
    <t>PTMs/ PRMs</t>
  </si>
  <si>
    <t>TOTAL</t>
  </si>
  <si>
    <t>PRODUT. (2)</t>
  </si>
  <si>
    <t>FREQUÊNCIA (EM HORAS) (3)</t>
  </si>
  <si>
    <t>Modalidade de Licitação nº (XX/AAAA)</t>
  </si>
  <si>
    <t>Pregão nº</t>
  </si>
  <si>
    <t>XX/20XX</t>
  </si>
  <si>
    <t>Data / Horário</t>
  </si>
  <si>
    <t>XX/XX/20XX</t>
  </si>
  <si>
    <t>HH:MM</t>
  </si>
  <si>
    <t>(A)</t>
  </si>
  <si>
    <t>(B)</t>
  </si>
  <si>
    <t>(C)</t>
  </si>
  <si>
    <t>D = (A+B+C)</t>
  </si>
  <si>
    <t>área interna</t>
  </si>
  <si>
    <t>Dados referentes à contratação</t>
  </si>
  <si>
    <t>área externa</t>
  </si>
  <si>
    <t>A</t>
  </si>
  <si>
    <t>Data de Apresentação da Proposta (DD/MM/AAAA)</t>
  </si>
  <si>
    <t>esquadria externa</t>
  </si>
  <si>
    <t>B</t>
  </si>
  <si>
    <t>Local de Execução (Sede, Anexo I ou II, PTM, PRM)</t>
  </si>
  <si>
    <t>EDIFÍCIO SEDE DA ESMPU</t>
  </si>
  <si>
    <t>fachaçada envidraçada</t>
  </si>
  <si>
    <t>C</t>
  </si>
  <si>
    <t>Unidade da Federação</t>
  </si>
  <si>
    <t>DF</t>
  </si>
  <si>
    <t>área médico hospitalar</t>
  </si>
  <si>
    <t>D</t>
  </si>
  <si>
    <t>Acordo, Conv. ou Sentença Normativa em Dissídio Coletivo (MM/AAAA)</t>
  </si>
  <si>
    <t>01/2025</t>
  </si>
  <si>
    <t>E</t>
  </si>
  <si>
    <t>Número de Meses de Execução Contratual</t>
  </si>
  <si>
    <t>QTDE DE SERVENTES/ENCARREGADO (SE FOR O CASO) (4)</t>
  </si>
  <si>
    <t>Identificação do serviço</t>
  </si>
  <si>
    <t>OBSERVAÇÕES (conforme o Anexo VII-D da IN SEGES/MPDG nº 5/2017)</t>
  </si>
  <si>
    <t>Item</t>
  </si>
  <si>
    <t>Tipo de Serviço</t>
  </si>
  <si>
    <t>Adic. Insalub.?</t>
  </si>
  <si>
    <t>Qtde a Contratar</t>
  </si>
  <si>
    <t>Salário Normat. (em R$)</t>
  </si>
  <si>
    <r>
      <t>(1)</t>
    </r>
    <r>
      <rPr>
        <sz val="11"/>
        <rFont val="Segoe UI Light"/>
        <family val="2"/>
      </rPr>
      <t xml:space="preserve"> Informar as metragens reais da unidade de acordo com os tipos de áreas existentes, incluindo PRMs/PTMs, conforme abrangência da contratação.</t>
    </r>
  </si>
  <si>
    <t>1</t>
  </si>
  <si>
    <t>Encarregado de Limpeza</t>
  </si>
  <si>
    <t>NÃO</t>
  </si>
  <si>
    <r>
      <t xml:space="preserve">(2) </t>
    </r>
    <r>
      <rPr>
        <sz val="11"/>
        <rFont val="Segoe UI Light"/>
        <family val="2"/>
      </rPr>
      <t>Caso as produtividades mínimas adotadas sejam diferentes, estes valores das planilhas, bem como os coeficientes deles decorrentes (Ki e Ke), deverão ser adequados à nova situação.</t>
    </r>
  </si>
  <si>
    <t>2</t>
  </si>
  <si>
    <t>Servente</t>
  </si>
  <si>
    <t>3</t>
  </si>
  <si>
    <t>Jardineiro</t>
  </si>
  <si>
    <r>
      <t>(3)</t>
    </r>
    <r>
      <rPr>
        <sz val="11"/>
        <rFont val="Segoe UI Light"/>
        <family val="2"/>
      </rPr>
      <t xml:space="preserve"> No caso das esquadrias externas, inserir a frequência de horas mensais. Em relação às fachadas envidraçadas, incluir a frequência de horas semestrais.</t>
    </r>
  </si>
  <si>
    <t>Mão de obra</t>
  </si>
  <si>
    <r>
      <t>(4)</t>
    </r>
    <r>
      <rPr>
        <sz val="11"/>
        <rFont val="Segoe UI Light"/>
        <family val="2"/>
      </rPr>
      <t xml:space="preserve"> Caso a relação entre serventes e encarregados seja diferente, os valores das planilhas, bem como os coeficientes deles decorrentes (Ki e Ke), deverão ser adequados à nova situação. </t>
    </r>
  </si>
  <si>
    <t>Tipo de Serviço (mesmo serviço com características distintas)</t>
  </si>
  <si>
    <t>Limpeza e Conservação</t>
  </si>
  <si>
    <t>Classificação Brasileira de Ocupações (CBO)</t>
  </si>
  <si>
    <t>5143-20</t>
  </si>
  <si>
    <t>Data-Base da Categoria (DD/MM/AAAA)</t>
  </si>
  <si>
    <t>Salário Mínimo vigente no país (em R$)</t>
  </si>
  <si>
    <t>CUSTOS POR EMPREGADO</t>
  </si>
  <si>
    <t>MÓDULO 1: COMPOSIÇÃO DA REMUNERAÇÃO</t>
  </si>
  <si>
    <t>Composição da Remuneração</t>
  </si>
  <si>
    <t>Valor / %</t>
  </si>
  <si>
    <t>Adicional de Insalubridade (em %)</t>
  </si>
  <si>
    <t>Outras Remunerações 1 (Especificar)</t>
  </si>
  <si>
    <t>Outras Remunerações 2 (Especificar)</t>
  </si>
  <si>
    <t>Outras Remunerações 3 (Especificar)</t>
  </si>
  <si>
    <t>MÓDULO 2: ENCARGOS E BENEFÍCIOS ANUAIS, MENSAIS E DIÁRIOS</t>
  </si>
  <si>
    <t>Submódulo 2.3 - Benefícios Mensais e Diários</t>
  </si>
  <si>
    <t>2.3</t>
  </si>
  <si>
    <t>Benefícios Mensais e Diários</t>
  </si>
  <si>
    <t>Frequência</t>
  </si>
  <si>
    <t>Valor (em R$)</t>
  </si>
  <si>
    <t>Transporte</t>
  </si>
  <si>
    <t>Diária</t>
  </si>
  <si>
    <t>Auxílio-Refeição/Alimentação</t>
  </si>
  <si>
    <t>Dias Trabalhados no mês (15 dias intercalados ou 22 dias úteis)</t>
  </si>
  <si>
    <t>Mensal</t>
  </si>
  <si>
    <t>Seguro de Vida e Assistência Funeral</t>
  </si>
  <si>
    <t>Outros Benefícios 2 (Especificar)</t>
  </si>
  <si>
    <t>F</t>
  </si>
  <si>
    <t>Outros Benefícios 3 (Especificar)</t>
  </si>
  <si>
    <t>MÓDULO 4: CUSTO DE REPOSIÇÃO DO PROFISSIONAL AUSENTE</t>
  </si>
  <si>
    <t>Submódulo 4.1 - Substituto nas Ausências Legais</t>
  </si>
  <si>
    <t>4.1</t>
  </si>
  <si>
    <t>Substituto nas Ausências Legais</t>
  </si>
  <si>
    <t>%</t>
  </si>
  <si>
    <t>Outras Ausências (Especificar em %)</t>
  </si>
  <si>
    <t>Submódulo 4.2 - Substituto na Intrajornada</t>
  </si>
  <si>
    <t>4.2</t>
  </si>
  <si>
    <t>Substituto na Intrajornada</t>
  </si>
  <si>
    <t>% / Minutos</t>
  </si>
  <si>
    <t>Hora Extra (em %)</t>
  </si>
  <si>
    <t>Tempo de Intervalo para Refeição (em minutos)</t>
  </si>
  <si>
    <t>MÓDULO 5: INSUMOS DIVERSOS</t>
  </si>
  <si>
    <t>Insumos Diversos</t>
  </si>
  <si>
    <t>Valor (R$)</t>
  </si>
  <si>
    <t>A1</t>
  </si>
  <si>
    <t>Uniformes (Encarregado)</t>
  </si>
  <si>
    <t>A2</t>
  </si>
  <si>
    <t>Uniformes (Servente)</t>
  </si>
  <si>
    <t>A3</t>
  </si>
  <si>
    <t>Uniformes (Jardineiro)</t>
  </si>
  <si>
    <t>B1</t>
  </si>
  <si>
    <t>Materiais (Encarregado)</t>
  </si>
  <si>
    <t>B2</t>
  </si>
  <si>
    <t>Materiais (Servente)</t>
  </si>
  <si>
    <t>B3</t>
  </si>
  <si>
    <t>Materiais (Jardineiro)</t>
  </si>
  <si>
    <t>C1</t>
  </si>
  <si>
    <t>Equipamentos (Encarregado)</t>
  </si>
  <si>
    <t>C2</t>
  </si>
  <si>
    <t>Equipamentos (Servente)</t>
  </si>
  <si>
    <t>C3</t>
  </si>
  <si>
    <t>Equipamentos (Jardineiro)</t>
  </si>
  <si>
    <t>Outros Insumos (Especificar)</t>
  </si>
  <si>
    <t>MÓDULO 6: CUSTOS INDIRETOS, TRIBUTOS E LUCRO</t>
  </si>
  <si>
    <t>Custos Indiretos, Tributos e Lucro</t>
  </si>
  <si>
    <t>Custos Indiretos</t>
  </si>
  <si>
    <t>Lucro</t>
  </si>
  <si>
    <t>C.1</t>
  </si>
  <si>
    <t>PIS</t>
  </si>
  <si>
    <t>C.2</t>
  </si>
  <si>
    <t>Cofins</t>
  </si>
  <si>
    <t>C.3</t>
  </si>
  <si>
    <t>ISS</t>
  </si>
  <si>
    <t>OBSERVAÇÃO</t>
  </si>
  <si>
    <t>Para mais informações, consulte o Referencial Técnico de Custos, constante da aba PUBLICAÇÕES, na página da Auditoria Interna do MPU na internet (www.auditoria.mpu.mp.br).</t>
  </si>
  <si>
    <t>DADOS ESTATÍSTICOS</t>
  </si>
  <si>
    <t>Dias / Horas / Minutos</t>
  </si>
  <si>
    <t>Divisor de Horas (em horas)</t>
  </si>
  <si>
    <t>Dias na Semana</t>
  </si>
  <si>
    <t>Dias no Ano</t>
  </si>
  <si>
    <t>Média Anual de Dias Trabalhados no Mês</t>
  </si>
  <si>
    <t xml:space="preserve">Meses no Ano </t>
  </si>
  <si>
    <t>Meses no Semestre</t>
  </si>
  <si>
    <t>G</t>
  </si>
  <si>
    <t>Hora Normal (em minutos)</t>
  </si>
  <si>
    <t>H</t>
  </si>
  <si>
    <t>Carga Horária Semanal (em horas)</t>
  </si>
  <si>
    <t>Dias / %</t>
  </si>
  <si>
    <t>Desconto Remuneração Transporte</t>
  </si>
  <si>
    <t>MÓDULO 3: PROVISÃO PARA RESCISÃO</t>
  </si>
  <si>
    <t>Provisão para Rescisão</t>
  </si>
  <si>
    <t>Faxineiros demitidos sem justa causa / Total de desligamentos (em %)</t>
  </si>
  <si>
    <t>Empregados que recebem aviso prévio indenizado (em %)</t>
  </si>
  <si>
    <t>Multa do FGTS (em %)</t>
  </si>
  <si>
    <t>Empregados que recebem aviso prévio trabalhado (em %)</t>
  </si>
  <si>
    <t>Dias no mês</t>
  </si>
  <si>
    <t>Dias de Ausências Legais</t>
  </si>
  <si>
    <t>Dias de Licença-Paternidade</t>
  </si>
  <si>
    <t>Nascidos Vivos / População Feminina (em %)</t>
  </si>
  <si>
    <t>Participação Masculina nos Serviços de Limpeza (em %)</t>
  </si>
  <si>
    <t>Empregados afastados por acidente de trabalho (em %)</t>
  </si>
  <si>
    <t>Dias pagos pela empresa em acidentes de trabalho</t>
  </si>
  <si>
    <t>Dias de Licença-Maternidade</t>
  </si>
  <si>
    <t>Participação Feminina nos Serviços de Limpeza (em %)</t>
  </si>
  <si>
    <t>Submódulo 4.2 - Intrajornada</t>
  </si>
  <si>
    <t>Intrajornada</t>
  </si>
  <si>
    <t>Minutos / %</t>
  </si>
  <si>
    <t>ENCARGOS SOCIAIS E TRABALHISTAS</t>
  </si>
  <si>
    <t>Submódulo 2.1 - 13º (décimo terceiro) Salário e Adicional de Férias</t>
  </si>
  <si>
    <t>2.1</t>
  </si>
  <si>
    <t>13º Salário e Adicional de Férias</t>
  </si>
  <si>
    <t>Memória de Cálculo</t>
  </si>
  <si>
    <t>13º Salário</t>
  </si>
  <si>
    <t>(1/12) x 100</t>
  </si>
  <si>
    <t>Adicional de Férias</t>
  </si>
  <si>
    <t>[(1/3)/12] x 100</t>
  </si>
  <si>
    <t>Submódulo 2.2 - Encargos Previdencários (GPS), Fundo de Garantia por Tempo de Serviço (FGTS) e Outras Contribuições</t>
  </si>
  <si>
    <t>2.2</t>
  </si>
  <si>
    <t>Encargos Previdenciários (GPS), Fundo de Garantia por Tempo de Serviço (FGTS) e outras contribuições</t>
  </si>
  <si>
    <t>INSS</t>
  </si>
  <si>
    <t>Salário Educação</t>
  </si>
  <si>
    <t>RAT x FAP*</t>
  </si>
  <si>
    <t>SESC</t>
  </si>
  <si>
    <t>SENAC</t>
  </si>
  <si>
    <t>SEBRAE</t>
  </si>
  <si>
    <t>INCRA</t>
  </si>
  <si>
    <t>FGTS</t>
  </si>
  <si>
    <t>Aviso Prévio Indenizado</t>
  </si>
  <si>
    <t>[(56,24%) x 5,55% x (1/12)] x 100</t>
  </si>
  <si>
    <t>Aviso Prévio Trabalhado</t>
  </si>
  <si>
    <t>[(56,24%) x 94,45% x (7/30)/12] x 100</t>
  </si>
  <si>
    <t>Multa do FGTS sobre o Aviso Prévio Trabalhado</t>
  </si>
  <si>
    <t>1,03% x 40% x 8,00% x 100</t>
  </si>
  <si>
    <t xml:space="preserve">Substituto na Cobertura de Férias </t>
  </si>
  <si>
    <t xml:space="preserve">(1/12) x 100 </t>
  </si>
  <si>
    <t>Substituto na Cobertura de Ausências Legais</t>
  </si>
  <si>
    <t>[(8/30)/12] x 100</t>
  </si>
  <si>
    <t>Substituto na Cobertura de Licença-Paternidade</t>
  </si>
  <si>
    <t>{[(20/30)/12] x 1,416% x 45,22%} x 100</t>
  </si>
  <si>
    <t>Substituto na Cobertura de Ausência por Acidente de Trabalho</t>
  </si>
  <si>
    <t>[(15/30)/12] x 0,44%} x 100</t>
  </si>
  <si>
    <t>Substituto na Cobertura de Afastamento Maternidade</t>
  </si>
  <si>
    <t>{[(180/30)/12] x 1,416% x 54,78% x 36,80%} x 100</t>
  </si>
  <si>
    <t>Para mais informações, consulte o Referencial Técnico de Custos, constante da aba PUBLICAÇÕES, na página da Auditoria Interna do MPU na internet (www.auditoria.mpu.mp.br). * FAP - Deverá estar previsto na proposta da empresa licitante e comprovada sua incidência posteriormente.</t>
  </si>
  <si>
    <t>CUSTOS REFERENTES AO ENCARREGADO</t>
  </si>
  <si>
    <t>Nº do Processo</t>
  </si>
  <si>
    <t>Modalidade de Licitação</t>
  </si>
  <si>
    <t>DISCRIMINAÇÃO DOS SERVIÇOS (DADOS REFERENTES À CONTRATAÇÃO)</t>
  </si>
  <si>
    <t>Quantidade de Encarregados</t>
  </si>
  <si>
    <t>4101-05</t>
  </si>
  <si>
    <t>Categoria Profissional (vinculada à execução contratual)</t>
  </si>
  <si>
    <t>PLANILHA DE CUSTOS E FORMAÇÃO DE PREÇOS</t>
  </si>
  <si>
    <t>Salário-Base</t>
  </si>
  <si>
    <t>Adicional de Insalubridade</t>
  </si>
  <si>
    <t>Riscos Ambientas do Trabalho</t>
  </si>
  <si>
    <t>Substituto na Cobertura de Intervalo para Repouso e Alimentação</t>
  </si>
  <si>
    <t>Uniformes</t>
  </si>
  <si>
    <t>Materiais</t>
  </si>
  <si>
    <t>Equipamentos</t>
  </si>
  <si>
    <t>Tributos</t>
  </si>
  <si>
    <t>QUADRO RESUMO - CUSTO POR EMPREGADO</t>
  </si>
  <si>
    <t>MÓD.</t>
  </si>
  <si>
    <t>Mão-de-obra vinculada à execução contratual (valor por empregado)</t>
  </si>
  <si>
    <t>Valor    (R$)</t>
  </si>
  <si>
    <t>Encargos e Benefícios Anuais, Mensais e Diários</t>
  </si>
  <si>
    <t>Custo de Reposição do Profissional Ausente</t>
  </si>
  <si>
    <t>VALOR TOTAL DO ENCARREGADO</t>
  </si>
  <si>
    <t>CUSTOS REFERENTES AO SERVENTE</t>
  </si>
  <si>
    <t>Quantidade de Serventes</t>
  </si>
  <si>
    <t>VALOR TOTAL DO SERVENTE</t>
  </si>
  <si>
    <t>CUSTOS REFERENTES AO JARDINEIRO</t>
  </si>
  <si>
    <t>Quantidade de Jardineiros</t>
  </si>
  <si>
    <t>6220-10</t>
  </si>
  <si>
    <t>VALOR TOTAL DO JARDINEIRO</t>
  </si>
  <si>
    <t>ANEXO VI-B da IN SEGES/MPDG nº 5/2017</t>
  </si>
  <si>
    <t>(Produtividades mínimas previstas no item 3, considerando os parâmetros do Anexo VI-B da Instrução Normativa)</t>
  </si>
  <si>
    <t>I - PREÇO MENSAL UNITÁRIO POR M²</t>
  </si>
  <si>
    <t>ÁREA INTERNA (Fórmulas exemplificativas de cálculo para área interna - alínea "a" do item 3.1 do Anexo VI-B; para as demais alíneas, deverão ser incluídos novos campos na planilha com a metragem adequada)</t>
  </si>
  <si>
    <t>MÃO DE OBRA</t>
  </si>
  <si>
    <t>PRODUTIVIDADE
(1/m²) (I)</t>
  </si>
  <si>
    <t>PREÇO HOMEM-MÊS   ( II )</t>
  </si>
  <si>
    <t>SUBTOTAL (R$/m²)
( I ) x ( II )</t>
  </si>
  <si>
    <t>ENCARREGADO</t>
  </si>
  <si>
    <t>SERVENTE</t>
  </si>
  <si>
    <t>CUSTO POR M² TOTAL - ÁREA INTERNA</t>
  </si>
  <si>
    <t>ÁREA EXTERNA (Fórmulas exemplificativas de cálculo para área externa - alínea "a" do item 3.2 do Anexo VI-B; para as demais alíneas, deverão ser incluídos novos campos na planilha com a metragem adequada).</t>
  </si>
  <si>
    <t>CUSTO POR M² TOTAL - ÁREA EXTERNA</t>
  </si>
  <si>
    <t>ESQUADRIA EXTERNA (Fórmulas exemplificativas de cálculo para área externa - alínea "a" do item 3.3 do Anexo VI-B; para as demais alíneas, deverão ser incluídos novos campos na planilha com a metragem adequada).</t>
  </si>
  <si>
    <t>FREQUENCIA NO MÊS ( II )
 (EM HORAS) (2)</t>
  </si>
  <si>
    <t>JORNADA NO MÊS   ( III )
(EM HORAS)</t>
  </si>
  <si>
    <t>COEFICIENTE (Ki)
( I )x( II )x( III )=  ( IV )</t>
  </si>
  <si>
    <t>PREÇO HOMEM-MÊS   ( V )</t>
  </si>
  <si>
    <t>SUBTOTAL (R$/m²)
( IV )x( V )</t>
  </si>
  <si>
    <t>CUSTO POR M² TOTAL - ESQUADRIA EXTERNA</t>
  </si>
  <si>
    <t>FACHADA ENVIDRAÇADA (Fórmulas exemplificativas de cálculo para área externa - item 3.4 do Anexo VI-B).</t>
  </si>
  <si>
    <t>JORNADA NO MÊS   ( III )
(em horas)</t>
  </si>
  <si>
    <t>CUSTO POR M² TOTAL - FACHADA ENVIDRAÇADA</t>
  </si>
  <si>
    <t>ÁREA MÉDICO HOSPITALAR E ASSEMELHADOS (Fórmulas exemplificativas de cálculo para área externa - item 3.5 do Anexo VI-B).</t>
  </si>
  <si>
    <t>CUSTO POR M² TOTAL - ÁREA MÉDICO HOSPITALAR</t>
  </si>
  <si>
    <t>LIMITE MÁXIMO PARA A CONTRATAÇÃO</t>
  </si>
  <si>
    <t>TIPO DE ÁREA</t>
  </si>
  <si>
    <t>ÁREA (m²)</t>
  </si>
  <si>
    <t>CUSTO MENSAL ESTIMADO
 (R$/m²)</t>
  </si>
  <si>
    <t>LIMITE POR TIPO DE ÁREA (R$)</t>
  </si>
  <si>
    <t>TOTAL
(D)</t>
  </si>
  <si>
    <t>E = (C X D)</t>
  </si>
  <si>
    <t>QUADRO RESUMO - VALOR MENSAL DOS SERVIÇOS</t>
  </si>
  <si>
    <t>ITEM</t>
  </si>
  <si>
    <t>Local da Execução dos Serviços</t>
  </si>
  <si>
    <t>Qtde de empregados
(A)</t>
  </si>
  <si>
    <t>Valor por empregado (R$)
(B)</t>
  </si>
  <si>
    <t>Valor total do serviço
(R$)
C = (AxB)</t>
  </si>
  <si>
    <t>I</t>
  </si>
  <si>
    <t>II</t>
  </si>
  <si>
    <t>III</t>
  </si>
  <si>
    <t>VALOR MENSAL DOS SERVIÇOS (I + II + III)</t>
  </si>
  <si>
    <t>QUANTIDADE DE FUNCIONÁRIOS</t>
  </si>
  <si>
    <t>AUXÍLIO SAÚDE (PLANO AMBULATORIAL)</t>
  </si>
  <si>
    <t>ASSISTÊNCIA ODONTOLÓGICA</t>
  </si>
  <si>
    <t>VALOR MENSAL FINAL PARA CONTRATAÇÃO</t>
  </si>
  <si>
    <t>VALOR ANUAL FINAL PARA CONTRATAÇÃO</t>
  </si>
  <si>
    <t>QUADRO RESUMO - ENCARGOS SOCIAIS E TRABALHISTAS EFETIVOS</t>
  </si>
  <si>
    <t>Conta</t>
  </si>
  <si>
    <t>Total de Encargos Sociais e Trabalhistas (A)*</t>
  </si>
  <si>
    <t>Remuneração (B)</t>
  </si>
  <si>
    <t>Encargos Sociais e Trabalhistas Efetivos (C = A / B)</t>
  </si>
  <si>
    <t>* Submódulo 2.1 + Submódulo 2.2 + Módulo 3 + Submódulo 4.1</t>
  </si>
  <si>
    <t>LIMITES PARA CONTRATAÇÃO, CONFORME PORTARIAS SEGES/ME (em R$/m²)</t>
  </si>
  <si>
    <t>CUSTO MENSAL ESTIMADO</t>
  </si>
  <si>
    <t>LIMITE MÍNIMO</t>
  </si>
  <si>
    <t>LIMITE MÁXIMO</t>
  </si>
  <si>
    <t>LIMITES PARA CONTRATAÇÃO, CONFORME ÁREA A SER LIMPA (em R$)</t>
  </si>
  <si>
    <t>Valor total do serviço</t>
  </si>
  <si>
    <t>Valor máximo a ser contratado (com base na área a ser limpa)</t>
  </si>
  <si>
    <t>O valor está em conformidade com o limite máximo a ser contratado com base na área?</t>
  </si>
  <si>
    <t>VALOR TOTAL</t>
  </si>
  <si>
    <t>Conforme produtividades previstas na Portaria nº 7, de 13 de abril de 2015.</t>
  </si>
  <si>
    <t>Atualizado em 06/11/2019</t>
  </si>
  <si>
    <t>UF</t>
  </si>
  <si>
    <t>A PARTIR DE</t>
  </si>
  <si>
    <t>ÁREA
INTERNA</t>
  </si>
  <si>
    <t>ÁREA
EXTERNA
(1200 M²)</t>
  </si>
  <si>
    <t>ESQUADRIA EXTERNA
(220 M²)</t>
  </si>
  <si>
    <t>FACHADA ENVIDRAÇADA
(110 M²)</t>
  </si>
  <si>
    <t>M²</t>
  </si>
  <si>
    <t>AC</t>
  </si>
  <si>
    <t>AL</t>
  </si>
  <si>
    <t>AM</t>
  </si>
  <si>
    <t>AP</t>
  </si>
  <si>
    <t>BA</t>
  </si>
  <si>
    <t>CE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</si>
  <si>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</si>
  <si>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</si>
  <si>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</si>
  <si>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</si>
  <si>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</si>
  <si>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</si>
  <si>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</si>
  <si>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</si>
  <si>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</si>
  <si>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</si>
  <si>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</si>
  <si>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</si>
  <si>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</si>
  <si>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</si>
  <si>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</si>
  <si>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</si>
  <si>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</si>
  <si>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</si>
  <si>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</si>
  <si>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</si>
  <si>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MÉDIA</t>
  </si>
  <si>
    <t>MENOR VALOR</t>
  </si>
  <si>
    <t>MAIOR VALOR</t>
  </si>
  <si>
    <t>Conforme produtividades previstas na Portaria nº 213, de 25 de setembro de 2017.</t>
  </si>
  <si>
    <t>ÁREA INTERNA</t>
  </si>
  <si>
    <t>ÁREA EXTERNA</t>
  </si>
  <si>
    <t>ESQUADRIA EXTERNA</t>
  </si>
  <si>
    <t>FACHADA ENVIDRAÇADA</t>
  </si>
  <si>
    <t xml:space="preserve"> M²</t>
  </si>
  <si>
    <t xml:space="preserve"> MÍN.</t>
  </si>
  <si>
    <t xml:space="preserve"> MÁX.</t>
  </si>
  <si>
    <t>QTDE ESTIMADA DE SERVENTES</t>
  </si>
  <si>
    <t>PRODUTIVIDADE (1/m²)</t>
  </si>
  <si>
    <t>QTDE ESTIMADA</t>
  </si>
  <si>
    <t>(D)</t>
  </si>
  <si>
    <t>E = (C /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</si>
</sst>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3" formatCode="_-* #,##0.00_-;\-* #,##0.00_-;_-* &quot;-&quot;??_-;_-@_-"/>
    <numFmt numFmtId="164" formatCode="#,##0.00_ ;\-#,##0.00\ "/>
    <numFmt numFmtId="165" formatCode="#,##0.0"/>
    <numFmt numFmtId="166" formatCode="0.000000000"/>
    <numFmt numFmtId="167" formatCode="0.000000"/>
    <numFmt numFmtId="168" formatCode="&quot;R$&quot;\ #,##0.00"/>
    <numFmt numFmtId="169" formatCode="dd/mm/yy;@"/>
  </numFmts>
  <fonts count="5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Segoe UI Light"/>
      <family val="2"/>
    </font>
    <font>
      <sz val="14"/>
      <name val="Segoe UI Light"/>
      <family val="2"/>
    </font>
    <font>
      <sz val="8"/>
      <name val="Segoe UI Light"/>
      <family val="2"/>
    </font>
    <font>
      <b/>
      <sz val="11"/>
      <name val="Segoe UI Light"/>
      <family val="2"/>
    </font>
    <font>
      <i/>
      <sz val="10"/>
      <name val="Segoe UI Light"/>
      <family val="2"/>
    </font>
    <font>
      <b/>
      <sz val="11"/>
      <color theme="0"/>
      <name val="Segoe UI Light"/>
      <family val="2"/>
    </font>
    <font>
      <sz val="11"/>
      <color rgb="FFFF0000"/>
      <name val="Segoe UI Light"/>
      <family val="2"/>
    </font>
    <font>
      <b/>
      <sz val="16"/>
      <color theme="5" tint="-0.499984740745262"/>
      <name val="Segoe UI Light"/>
      <family val="2"/>
    </font>
    <font>
      <sz val="11"/>
      <color theme="5" tint="-0.249977111117893"/>
      <name val="Segoe UI Light"/>
      <family val="2"/>
    </font>
    <font>
      <i/>
      <sz val="10"/>
      <color theme="0"/>
      <name val="Segoe UI Light"/>
      <family val="2"/>
    </font>
    <font>
      <b/>
      <sz val="14"/>
      <color theme="5" tint="-0.249977111117893"/>
      <name val="Segoe UI Light"/>
      <family val="2"/>
    </font>
    <font>
      <b/>
      <sz val="11"/>
      <color theme="5" tint="-0.499984740745262"/>
      <name val="Segoe UI Light"/>
      <family val="2"/>
    </font>
    <font>
      <b/>
      <sz val="14"/>
      <color theme="5" tint="-0.499984740745262"/>
      <name val="Segoe UI Light"/>
      <family val="2"/>
    </font>
    <font>
      <b/>
      <sz val="12"/>
      <color theme="5" tint="-0.499984740745262"/>
      <name val="Segoe UI Light"/>
      <family val="2"/>
    </font>
    <font>
      <b/>
      <sz val="20"/>
      <color theme="5" tint="-0.249977111117893"/>
      <name val="Segoe UI Light"/>
      <family val="2"/>
    </font>
    <font>
      <sz val="10"/>
      <name val="Segoe UI Light"/>
      <family val="2"/>
    </font>
    <font>
      <b/>
      <sz val="14"/>
      <color theme="9" tint="-0.499984740745262"/>
      <name val="Segoe UI Light"/>
      <family val="2"/>
    </font>
    <font>
      <b/>
      <sz val="12"/>
      <color theme="9" tint="-0.499984740745262"/>
      <name val="Segoe UI Light"/>
      <family val="2"/>
    </font>
    <font>
      <sz val="10"/>
      <color rgb="FFFF0000"/>
      <name val="Segoe UI Light"/>
      <family val="2"/>
    </font>
    <font>
      <b/>
      <sz val="11"/>
      <color theme="9" tint="-0.499984740745262"/>
      <name val="Segoe UI Light"/>
      <family val="2"/>
    </font>
    <font>
      <sz val="11"/>
      <color theme="0"/>
      <name val="Segoe UI Light"/>
      <family val="2"/>
    </font>
    <font>
      <sz val="10"/>
      <color theme="9" tint="-0.499984740745262"/>
      <name val="Segoe UI Light"/>
      <family val="2"/>
    </font>
    <font>
      <sz val="8"/>
      <color theme="9" tint="-0.499984740745262"/>
      <name val="Segoe UI Light"/>
      <family val="2"/>
    </font>
    <font>
      <b/>
      <sz val="14"/>
      <name val="Segoe UI Light"/>
      <family val="2"/>
    </font>
    <font>
      <b/>
      <sz val="18"/>
      <color theme="5" tint="-0.249977111117893"/>
      <name val="Segoe UI Light"/>
      <family val="2"/>
    </font>
    <font>
      <b/>
      <sz val="10"/>
      <color theme="0"/>
      <name val="Segoe UI Light"/>
      <family val="2"/>
    </font>
    <font>
      <sz val="10"/>
      <color theme="0"/>
      <name val="Segoe UI Light"/>
      <family val="2"/>
    </font>
    <font>
      <b/>
      <sz val="10"/>
      <name val="Segoe UI Light"/>
      <family val="2"/>
    </font>
    <font>
      <b/>
      <i/>
      <sz val="10"/>
      <name val="Segoe UI Light"/>
      <family val="2"/>
    </font>
    <font>
      <b/>
      <i/>
      <sz val="10"/>
      <color theme="9" tint="-0.499984740745262"/>
      <name val="Segoe UI Light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D55816"/>
        <bgColor indexed="64"/>
      </patternFill>
    </fill>
    <fill>
      <patternFill patternType="solid">
        <fgColor rgb="FFD55816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55816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rgb="FFD55816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rgb="FFD3D3D3"/>
      </right>
      <top style="thin">
        <color theme="0" tint="-4.9989318521683403E-2"/>
      </top>
      <bottom/>
      <diagonal/>
    </border>
    <border>
      <left style="thin">
        <color rgb="FFD3D3D3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rgb="FFE8E7E7"/>
      </left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/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18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43" fontId="18" fillId="0" borderId="0" applyFont="0" applyFill="0" applyBorder="0" applyAlignment="0" applyProtection="0"/>
  </cellStyleXfs>
  <cellXfs count="389">
    <xf numFmtId="0" fontId="0" fillId="0" borderId="0" xfId="0"/>
    <xf numFmtId="0" fontId="24" fillId="27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 wrapText="1"/>
    </xf>
    <xf numFmtId="4" fontId="19" fillId="29" borderId="10" xfId="0" applyNumberFormat="1" applyFont="1" applyFill="1" applyBorder="1" applyAlignment="1">
      <alignment horizontal="right" vertical="center" wrapText="1"/>
    </xf>
    <xf numFmtId="0" fontId="22" fillId="24" borderId="0" xfId="0" applyFont="1" applyFill="1"/>
    <xf numFmtId="0" fontId="22" fillId="25" borderId="0" xfId="0" applyFont="1" applyFill="1" applyAlignment="1">
      <alignment horizontal="left" vertical="center" wrapText="1"/>
    </xf>
    <xf numFmtId="0" fontId="19" fillId="25" borderId="0" xfId="0" applyFont="1" applyFill="1"/>
    <xf numFmtId="39" fontId="19" fillId="25" borderId="0" xfId="0" applyNumberFormat="1" applyFont="1" applyFill="1" applyAlignment="1">
      <alignment horizontal="right"/>
    </xf>
    <xf numFmtId="0" fontId="19" fillId="25" borderId="0" xfId="0" applyFont="1" applyFill="1" applyAlignment="1">
      <alignment horizontal="left" vertical="center" wrapText="1"/>
    </xf>
    <xf numFmtId="0" fontId="19" fillId="26" borderId="0" xfId="0" applyFont="1" applyFill="1"/>
    <xf numFmtId="39" fontId="22" fillId="25" borderId="0" xfId="0" applyNumberFormat="1" applyFont="1" applyFill="1" applyAlignment="1">
      <alignment horizontal="center" vertical="center" wrapText="1"/>
    </xf>
    <xf numFmtId="39" fontId="19" fillId="25" borderId="0" xfId="0" applyNumberFormat="1" applyFont="1" applyFill="1" applyAlignment="1">
      <alignment horizontal="center"/>
    </xf>
    <xf numFmtId="0" fontId="22" fillId="25" borderId="0" xfId="0" applyFont="1" applyFill="1" applyAlignment="1">
      <alignment horizontal="center" vertical="center" wrapText="1"/>
    </xf>
    <xf numFmtId="39" fontId="19" fillId="25" borderId="0" xfId="0" applyNumberFormat="1" applyFont="1" applyFill="1" applyAlignment="1">
      <alignment horizontal="center" vertical="center" wrapText="1"/>
    </xf>
    <xf numFmtId="49" fontId="19" fillId="30" borderId="10" xfId="0" applyNumberFormat="1" applyFont="1" applyFill="1" applyBorder="1" applyAlignment="1" applyProtection="1">
      <alignment horizontal="center"/>
      <protection locked="0"/>
    </xf>
    <xf numFmtId="0" fontId="24" fillId="27" borderId="10" xfId="0" applyFont="1" applyFill="1" applyBorder="1" applyAlignment="1">
      <alignment horizontal="center"/>
    </xf>
    <xf numFmtId="14" fontId="19" fillId="30" borderId="10" xfId="0" applyNumberFormat="1" applyFont="1" applyFill="1" applyBorder="1" applyAlignment="1" applyProtection="1">
      <alignment horizontal="center"/>
      <protection locked="0"/>
    </xf>
    <xf numFmtId="0" fontId="19" fillId="29" borderId="10" xfId="0" applyFont="1" applyFill="1" applyBorder="1"/>
    <xf numFmtId="0" fontId="24" fillId="25" borderId="0" xfId="0" applyFont="1" applyFill="1" applyAlignment="1">
      <alignment horizontal="center"/>
    </xf>
    <xf numFmtId="0" fontId="19" fillId="25" borderId="0" xfId="0" applyFont="1" applyFill="1" applyAlignment="1">
      <alignment horizontal="left"/>
    </xf>
    <xf numFmtId="0" fontId="19" fillId="29" borderId="10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 vertical="center" wrapText="1"/>
    </xf>
    <xf numFmtId="39" fontId="23" fillId="29" borderId="10" xfId="0" applyNumberFormat="1" applyFont="1" applyFill="1" applyBorder="1" applyAlignment="1">
      <alignment horizontal="center" vertical="center" wrapText="1"/>
    </xf>
    <xf numFmtId="39" fontId="19" fillId="33" borderId="10" xfId="0" applyNumberFormat="1" applyFont="1" applyFill="1" applyBorder="1" applyAlignment="1" applyProtection="1">
      <alignment horizontal="right" vertical="center" wrapText="1"/>
      <protection locked="0"/>
    </xf>
    <xf numFmtId="0" fontId="29" fillId="25" borderId="0" xfId="0" applyFont="1" applyFill="1" applyAlignment="1">
      <alignment horizontal="left" vertical="center"/>
    </xf>
    <xf numFmtId="0" fontId="27" fillId="25" borderId="0" xfId="0" applyFont="1" applyFill="1" applyAlignment="1">
      <alignment horizontal="left" vertical="center" wrapText="1"/>
    </xf>
    <xf numFmtId="39" fontId="27" fillId="25" borderId="0" xfId="0" applyNumberFormat="1" applyFont="1" applyFill="1" applyAlignment="1">
      <alignment horizontal="center" vertical="center" wrapText="1"/>
    </xf>
    <xf numFmtId="39" fontId="19" fillId="29" borderId="10" xfId="0" applyNumberFormat="1" applyFont="1" applyFill="1" applyBorder="1" applyAlignment="1">
      <alignment horizontal="right" vertical="center" wrapText="1"/>
    </xf>
    <xf numFmtId="39" fontId="24" fillId="27" borderId="10" xfId="0" applyNumberFormat="1" applyFont="1" applyFill="1" applyBorder="1" applyAlignment="1">
      <alignment horizontal="right" vertical="center" wrapText="1"/>
    </xf>
    <xf numFmtId="2" fontId="19" fillId="29" borderId="10" xfId="0" applyNumberFormat="1" applyFont="1" applyFill="1" applyBorder="1" applyAlignment="1">
      <alignment horizontal="center" vertical="center"/>
    </xf>
    <xf numFmtId="2" fontId="24" fillId="27" borderId="10" xfId="0" applyNumberFormat="1" applyFont="1" applyFill="1" applyBorder="1" applyAlignment="1">
      <alignment horizontal="center" vertical="center"/>
    </xf>
    <xf numFmtId="4" fontId="24" fillId="34" borderId="10" xfId="0" applyNumberFormat="1" applyFont="1" applyFill="1" applyBorder="1" applyAlignment="1">
      <alignment horizontal="right" vertical="center" wrapText="1"/>
    </xf>
    <xf numFmtId="4" fontId="24" fillId="27" borderId="10" xfId="0" applyNumberFormat="1" applyFont="1" applyFill="1" applyBorder="1" applyAlignment="1">
      <alignment horizontal="right"/>
    </xf>
    <xf numFmtId="4" fontId="24" fillId="27" borderId="10" xfId="0" applyNumberFormat="1" applyFont="1" applyFill="1" applyBorder="1" applyAlignment="1">
      <alignment horizontal="right" vertical="center"/>
    </xf>
    <xf numFmtId="4" fontId="24" fillId="34" borderId="11" xfId="0" applyNumberFormat="1" applyFont="1" applyFill="1" applyBorder="1" applyAlignment="1">
      <alignment horizontal="right" vertical="center" wrapText="1"/>
    </xf>
    <xf numFmtId="0" fontId="24" fillId="27" borderId="11" xfId="0" applyFont="1" applyFill="1" applyBorder="1" applyAlignment="1">
      <alignment horizontal="center"/>
    </xf>
    <xf numFmtId="2" fontId="19" fillId="29" borderId="10" xfId="0" applyNumberFormat="1" applyFont="1" applyFill="1" applyBorder="1" applyAlignment="1">
      <alignment horizontal="center" vertical="center" wrapText="1"/>
    </xf>
    <xf numFmtId="39" fontId="19" fillId="29" borderId="11" xfId="0" applyNumberFormat="1" applyFont="1" applyFill="1" applyBorder="1" applyAlignment="1">
      <alignment horizontal="right" vertical="center" wrapText="1"/>
    </xf>
    <xf numFmtId="39" fontId="19" fillId="29" borderId="10" xfId="0" applyNumberFormat="1" applyFont="1" applyFill="1" applyBorder="1" applyAlignment="1">
      <alignment horizontal="center" vertical="center" wrapText="1"/>
    </xf>
    <xf numFmtId="0" fontId="24" fillId="27" borderId="11" xfId="0" applyFont="1" applyFill="1" applyBorder="1" applyAlignment="1">
      <alignment horizontal="center" vertical="center"/>
    </xf>
    <xf numFmtId="0" fontId="24" fillId="28" borderId="11" xfId="0" applyFont="1" applyFill="1" applyBorder="1" applyAlignment="1">
      <alignment horizontal="center" vertical="center" wrapText="1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left" vertical="center"/>
    </xf>
    <xf numFmtId="164" fontId="19" fillId="29" borderId="10" xfId="0" applyNumberFormat="1" applyFont="1" applyFill="1" applyBorder="1" applyAlignment="1">
      <alignment horizontal="center" vertical="center" wrapText="1"/>
    </xf>
    <xf numFmtId="0" fontId="19" fillId="35" borderId="10" xfId="0" applyFont="1" applyFill="1" applyBorder="1"/>
    <xf numFmtId="4" fontId="19" fillId="35" borderId="10" xfId="0" applyNumberFormat="1" applyFont="1" applyFill="1" applyBorder="1" applyAlignment="1">
      <alignment horizontal="right" vertical="center" wrapText="1"/>
    </xf>
    <xf numFmtId="39" fontId="19" fillId="35" borderId="10" xfId="0" applyNumberFormat="1" applyFont="1" applyFill="1" applyBorder="1" applyAlignment="1">
      <alignment horizontal="right" vertical="center" wrapText="1"/>
    </xf>
    <xf numFmtId="2" fontId="19" fillId="35" borderId="10" xfId="0" applyNumberFormat="1" applyFont="1" applyFill="1" applyBorder="1" applyAlignment="1">
      <alignment horizontal="center" vertical="center" wrapText="1"/>
    </xf>
    <xf numFmtId="39" fontId="19" fillId="35" borderId="11" xfId="0" applyNumberFormat="1" applyFont="1" applyFill="1" applyBorder="1" applyAlignment="1">
      <alignment horizontal="right" vertical="center" wrapText="1"/>
    </xf>
    <xf numFmtId="39" fontId="19" fillId="35" borderId="10" xfId="0" applyNumberFormat="1" applyFont="1" applyFill="1" applyBorder="1" applyAlignment="1">
      <alignment horizontal="center" vertical="center" wrapText="1"/>
    </xf>
    <xf numFmtId="39" fontId="23" fillId="35" borderId="10" xfId="0" applyNumberFormat="1" applyFont="1" applyFill="1" applyBorder="1" applyAlignment="1">
      <alignment horizontal="center" vertical="center" wrapText="1"/>
    </xf>
    <xf numFmtId="39" fontId="23" fillId="29" borderId="10" xfId="0" applyNumberFormat="1" applyFont="1" applyFill="1" applyBorder="1" applyAlignment="1">
      <alignment horizontal="right" vertical="center" wrapText="1"/>
    </xf>
    <xf numFmtId="39" fontId="23" fillId="35" borderId="10" xfId="0" applyNumberFormat="1" applyFont="1" applyFill="1" applyBorder="1" applyAlignment="1">
      <alignment horizontal="right" vertical="center" wrapText="1"/>
    </xf>
    <xf numFmtId="0" fontId="19" fillId="35" borderId="10" xfId="0" applyFont="1" applyFill="1" applyBorder="1" applyAlignment="1">
      <alignment horizontal="center"/>
    </xf>
    <xf numFmtId="0" fontId="24" fillId="27" borderId="13" xfId="0" applyFont="1" applyFill="1" applyBorder="1" applyAlignment="1">
      <alignment horizontal="center" vertical="center" wrapText="1"/>
    </xf>
    <xf numFmtId="0" fontId="19" fillId="31" borderId="10" xfId="0" applyFont="1" applyFill="1" applyBorder="1" applyAlignment="1">
      <alignment horizontal="justify" vertical="center" wrapText="1"/>
    </xf>
    <xf numFmtId="4" fontId="19" fillId="30" borderId="10" xfId="0" applyNumberFormat="1" applyFont="1" applyFill="1" applyBorder="1" applyAlignment="1" applyProtection="1">
      <alignment horizontal="right"/>
      <protection locked="0"/>
    </xf>
    <xf numFmtId="0" fontId="24" fillId="27" borderId="13" xfId="0" applyFont="1" applyFill="1" applyBorder="1" applyAlignment="1">
      <alignment horizontal="center" vertical="center"/>
    </xf>
    <xf numFmtId="0" fontId="19" fillId="30" borderId="10" xfId="0" applyFont="1" applyFill="1" applyBorder="1" applyAlignment="1" applyProtection="1">
      <alignment horizontal="center" vertical="center"/>
      <protection locked="0"/>
    </xf>
    <xf numFmtId="3" fontId="19" fillId="29" borderId="10" xfId="0" applyNumberFormat="1" applyFont="1" applyFill="1" applyBorder="1" applyAlignment="1">
      <alignment horizontal="right" vertical="center" wrapText="1"/>
    </xf>
    <xf numFmtId="165" fontId="19" fillId="29" borderId="10" xfId="0" applyNumberFormat="1" applyFont="1" applyFill="1" applyBorder="1" applyAlignment="1">
      <alignment horizontal="right" vertical="center" wrapText="1"/>
    </xf>
    <xf numFmtId="3" fontId="19" fillId="35" borderId="10" xfId="0" applyNumberFormat="1" applyFont="1" applyFill="1" applyBorder="1" applyAlignment="1">
      <alignment horizontal="right" vertical="center" wrapText="1"/>
    </xf>
    <xf numFmtId="37" fontId="19" fillId="35" borderId="10" xfId="0" applyNumberFormat="1" applyFont="1" applyFill="1" applyBorder="1" applyAlignment="1">
      <alignment horizontal="right" vertical="center" wrapText="1"/>
    </xf>
    <xf numFmtId="37" fontId="19" fillId="29" borderId="10" xfId="0" applyNumberFormat="1" applyFont="1" applyFill="1" applyBorder="1" applyAlignment="1">
      <alignment horizontal="right" vertical="center" wrapText="1"/>
    </xf>
    <xf numFmtId="0" fontId="19" fillId="30" borderId="13" xfId="0" applyFont="1" applyFill="1" applyBorder="1" applyAlignment="1" applyProtection="1">
      <alignment horizontal="center"/>
      <protection locked="0"/>
    </xf>
    <xf numFmtId="4" fontId="19" fillId="32" borderId="10" xfId="0" applyNumberFormat="1" applyFont="1" applyFill="1" applyBorder="1" applyAlignment="1" applyProtection="1">
      <alignment horizontal="right" vertical="center" wrapText="1"/>
      <protection locked="0"/>
    </xf>
    <xf numFmtId="3" fontId="19" fillId="32" borderId="10" xfId="0" applyNumberFormat="1" applyFont="1" applyFill="1" applyBorder="1" applyAlignment="1" applyProtection="1">
      <alignment horizontal="right" vertical="center" wrapText="1"/>
      <protection locked="0"/>
    </xf>
    <xf numFmtId="39" fontId="19" fillId="32" borderId="11" xfId="0" applyNumberFormat="1" applyFont="1" applyFill="1" applyBorder="1" applyAlignment="1" applyProtection="1">
      <alignment horizontal="right" vertical="center" wrapText="1"/>
      <protection locked="0"/>
    </xf>
    <xf numFmtId="0" fontId="24" fillId="27" borderId="12" xfId="0" applyFont="1" applyFill="1" applyBorder="1" applyAlignment="1">
      <alignment horizontal="center" vertical="center"/>
    </xf>
    <xf numFmtId="37" fontId="19" fillId="32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30" borderId="13" xfId="0" applyFont="1" applyFill="1" applyBorder="1" applyAlignment="1" applyProtection="1">
      <alignment horizontal="center" vertical="center" wrapText="1"/>
      <protection locked="0"/>
    </xf>
    <xf numFmtId="0" fontId="39" fillId="27" borderId="10" xfId="0" applyFont="1" applyFill="1" applyBorder="1" applyAlignment="1">
      <alignment vertical="center"/>
    </xf>
    <xf numFmtId="0" fontId="21" fillId="26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41" fillId="26" borderId="0" xfId="0" applyFont="1" applyFill="1" applyAlignment="1">
      <alignment vertical="center"/>
    </xf>
    <xf numFmtId="4" fontId="19" fillId="35" borderId="10" xfId="0" applyNumberFormat="1" applyFont="1" applyFill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/>
    </xf>
    <xf numFmtId="4" fontId="19" fillId="29" borderId="10" xfId="0" applyNumberFormat="1" applyFont="1" applyFill="1" applyBorder="1" applyAlignment="1">
      <alignment horizontal="center" vertical="center"/>
    </xf>
    <xf numFmtId="0" fontId="45" fillId="34" borderId="10" xfId="0" applyFont="1" applyFill="1" applyBorder="1" applyAlignment="1">
      <alignment vertical="center"/>
    </xf>
    <xf numFmtId="4" fontId="19" fillId="32" borderId="10" xfId="0" applyNumberFormat="1" applyFont="1" applyFill="1" applyBorder="1" applyAlignment="1" applyProtection="1">
      <alignment horizontal="center" vertical="center"/>
      <protection locked="0"/>
    </xf>
    <xf numFmtId="4" fontId="19" fillId="32" borderId="10" xfId="43" applyNumberFormat="1" applyFont="1" applyFill="1" applyBorder="1" applyAlignment="1" applyProtection="1">
      <alignment horizontal="center" vertical="center"/>
      <protection locked="0"/>
    </xf>
    <xf numFmtId="4" fontId="24" fillId="27" borderId="10" xfId="0" applyNumberFormat="1" applyFont="1" applyFill="1" applyBorder="1" applyAlignment="1">
      <alignment horizontal="center" vertical="center"/>
    </xf>
    <xf numFmtId="3" fontId="19" fillId="32" borderId="10" xfId="0" applyNumberFormat="1" applyFont="1" applyFill="1" applyBorder="1" applyAlignment="1" applyProtection="1">
      <alignment horizontal="center" vertical="center"/>
      <protection locked="0"/>
    </xf>
    <xf numFmtId="0" fontId="19" fillId="32" borderId="10" xfId="0" applyFont="1" applyFill="1" applyBorder="1" applyAlignment="1" applyProtection="1">
      <alignment horizontal="center" vertical="center"/>
      <protection locked="0"/>
    </xf>
    <xf numFmtId="4" fontId="24" fillId="38" borderId="10" xfId="0" applyNumberFormat="1" applyFont="1" applyFill="1" applyBorder="1" applyAlignment="1">
      <alignment horizontal="center" vertical="center"/>
    </xf>
    <xf numFmtId="0" fontId="46" fillId="37" borderId="0" xfId="0" applyFont="1" applyFill="1" applyAlignment="1">
      <alignment horizontal="left" vertical="center" wrapText="1"/>
    </xf>
    <xf numFmtId="4" fontId="19" fillId="39" borderId="10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47" fillId="0" borderId="0" xfId="0" applyFont="1" applyAlignment="1">
      <alignment horizontal="right"/>
    </xf>
    <xf numFmtId="0" fontId="24" fillId="38" borderId="25" xfId="0" applyFont="1" applyFill="1" applyBorder="1" applyAlignment="1">
      <alignment horizontal="center" vertical="center" wrapText="1"/>
    </xf>
    <xf numFmtId="14" fontId="24" fillId="27" borderId="10" xfId="0" applyNumberFormat="1" applyFont="1" applyFill="1" applyBorder="1" applyAlignment="1">
      <alignment horizontal="center" vertical="center"/>
    </xf>
    <xf numFmtId="4" fontId="19" fillId="39" borderId="10" xfId="0" applyNumberFormat="1" applyFont="1" applyFill="1" applyBorder="1" applyAlignment="1">
      <alignment horizontal="center" vertical="center" wrapText="1"/>
    </xf>
    <xf numFmtId="4" fontId="19" fillId="29" borderId="10" xfId="0" applyNumberFormat="1" applyFont="1" applyFill="1" applyBorder="1" applyAlignment="1">
      <alignment horizontal="center" vertical="center" wrapText="1"/>
    </xf>
    <xf numFmtId="0" fontId="36" fillId="25" borderId="0" xfId="0" applyFont="1" applyFill="1" applyAlignment="1">
      <alignment vertical="center"/>
    </xf>
    <xf numFmtId="10" fontId="24" fillId="27" borderId="10" xfId="0" applyNumberFormat="1" applyFont="1" applyFill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/>
    </xf>
    <xf numFmtId="3" fontId="19" fillId="39" borderId="10" xfId="0" applyNumberFormat="1" applyFont="1" applyFill="1" applyBorder="1" applyAlignment="1">
      <alignment horizontal="left" vertical="center" wrapText="1"/>
    </xf>
    <xf numFmtId="3" fontId="19" fillId="39" borderId="10" xfId="0" applyNumberFormat="1" applyFont="1" applyFill="1" applyBorder="1" applyAlignment="1">
      <alignment horizontal="center" vertical="center" wrapText="1"/>
    </xf>
    <xf numFmtId="4" fontId="19" fillId="39" borderId="10" xfId="0" applyNumberFormat="1" applyFont="1" applyFill="1" applyBorder="1" applyAlignment="1">
      <alignment vertical="center" wrapText="1"/>
    </xf>
    <xf numFmtId="3" fontId="19" fillId="29" borderId="10" xfId="0" applyNumberFormat="1" applyFont="1" applyFill="1" applyBorder="1" applyAlignment="1">
      <alignment horizontal="left" vertical="center" wrapText="1"/>
    </xf>
    <xf numFmtId="3" fontId="19" fillId="29" borderId="10" xfId="0" applyNumberFormat="1" applyFont="1" applyFill="1" applyBorder="1" applyAlignment="1">
      <alignment horizontal="center" vertical="center" wrapText="1"/>
    </xf>
    <xf numFmtId="4" fontId="19" fillId="29" borderId="10" xfId="0" applyNumberFormat="1" applyFont="1" applyFill="1" applyBorder="1" applyAlignment="1">
      <alignment vertical="center" wrapText="1"/>
    </xf>
    <xf numFmtId="3" fontId="24" fillId="27" borderId="10" xfId="0" applyNumberFormat="1" applyFont="1" applyFill="1" applyBorder="1" applyAlignment="1">
      <alignment horizontal="center" vertical="center" wrapText="1"/>
    </xf>
    <xf numFmtId="4" fontId="24" fillId="27" borderId="10" xfId="0" applyNumberFormat="1" applyFont="1" applyFill="1" applyBorder="1" applyAlignment="1">
      <alignment vertical="center" wrapText="1"/>
    </xf>
    <xf numFmtId="4" fontId="24" fillId="27" borderId="10" xfId="0" applyNumberFormat="1" applyFont="1" applyFill="1" applyBorder="1" applyAlignment="1">
      <alignment horizontal="right" vertical="center" wrapText="1"/>
    </xf>
    <xf numFmtId="0" fontId="31" fillId="25" borderId="0" xfId="0" applyFont="1" applyFill="1" applyAlignment="1">
      <alignment vertical="center"/>
    </xf>
    <xf numFmtId="168" fontId="19" fillId="39" borderId="10" xfId="0" applyNumberFormat="1" applyFont="1" applyFill="1" applyBorder="1" applyAlignment="1">
      <alignment horizontal="right" vertical="center" wrapText="1"/>
    </xf>
    <xf numFmtId="168" fontId="19" fillId="29" borderId="10" xfId="0" applyNumberFormat="1" applyFont="1" applyFill="1" applyBorder="1" applyAlignment="1">
      <alignment horizontal="right" vertical="center" wrapText="1"/>
    </xf>
    <xf numFmtId="10" fontId="24" fillId="27" borderId="13" xfId="0" applyNumberFormat="1" applyFont="1" applyFill="1" applyBorder="1" applyAlignment="1">
      <alignment horizontal="center" vertical="center" wrapText="1"/>
    </xf>
    <xf numFmtId="39" fontId="19" fillId="32" borderId="10" xfId="0" applyNumberFormat="1" applyFont="1" applyFill="1" applyBorder="1" applyAlignment="1" applyProtection="1">
      <alignment horizontal="center" vertical="center" wrapText="1"/>
      <protection locked="0"/>
    </xf>
    <xf numFmtId="4" fontId="19" fillId="30" borderId="13" xfId="0" applyNumberFormat="1" applyFont="1" applyFill="1" applyBorder="1" applyAlignment="1" applyProtection="1">
      <alignment vertical="center" wrapText="1"/>
      <protection locked="0"/>
    </xf>
    <xf numFmtId="0" fontId="24" fillId="27" borderId="12" xfId="0" applyFont="1" applyFill="1" applyBorder="1" applyAlignment="1">
      <alignment horizontal="center" vertical="center" wrapText="1"/>
    </xf>
    <xf numFmtId="49" fontId="19" fillId="30" borderId="10" xfId="0" applyNumberFormat="1" applyFont="1" applyFill="1" applyBorder="1" applyAlignment="1" applyProtection="1">
      <alignment horizontal="center" vertical="center" wrapText="1"/>
      <protection locked="0"/>
    </xf>
    <xf numFmtId="49" fontId="19" fillId="30" borderId="10" xfId="0" applyNumberFormat="1" applyFont="1" applyFill="1" applyBorder="1" applyAlignment="1" applyProtection="1">
      <alignment horizontal="center" vertical="center"/>
      <protection locked="0"/>
    </xf>
    <xf numFmtId="0" fontId="44" fillId="28" borderId="12" xfId="0" applyFont="1" applyFill="1" applyBorder="1" applyAlignment="1">
      <alignment vertical="center" wrapText="1"/>
    </xf>
    <xf numFmtId="169" fontId="24" fillId="27" borderId="10" xfId="0" applyNumberFormat="1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 wrapText="1"/>
    </xf>
    <xf numFmtId="0" fontId="24" fillId="38" borderId="22" xfId="0" applyFont="1" applyFill="1" applyBorder="1" applyAlignment="1">
      <alignment vertical="center" wrapText="1"/>
    </xf>
    <xf numFmtId="0" fontId="24" fillId="38" borderId="31" xfId="0" applyFont="1" applyFill="1" applyBorder="1" applyAlignment="1">
      <alignment vertical="center" wrapText="1"/>
    </xf>
    <xf numFmtId="0" fontId="24" fillId="38" borderId="13" xfId="0" applyFont="1" applyFill="1" applyBorder="1" applyAlignment="1">
      <alignment horizontal="right" vertical="center" wrapText="1"/>
    </xf>
    <xf numFmtId="0" fontId="24" fillId="38" borderId="12" xfId="0" applyFont="1" applyFill="1" applyBorder="1" applyAlignment="1">
      <alignment horizontal="left" vertical="center" wrapText="1"/>
    </xf>
    <xf numFmtId="0" fontId="24" fillId="38" borderId="14" xfId="0" applyFont="1" applyFill="1" applyBorder="1" applyAlignment="1">
      <alignment horizontal="left" vertical="center" wrapText="1"/>
    </xf>
    <xf numFmtId="3" fontId="24" fillId="28" borderId="10" xfId="43" applyNumberFormat="1" applyFont="1" applyFill="1" applyBorder="1" applyAlignment="1">
      <alignment horizontal="center" vertical="center"/>
    </xf>
    <xf numFmtId="0" fontId="44" fillId="28" borderId="10" xfId="0" applyFont="1" applyFill="1" applyBorder="1" applyAlignment="1">
      <alignment horizontal="center" vertical="center" wrapText="1"/>
    </xf>
    <xf numFmtId="0" fontId="19" fillId="29" borderId="10" xfId="0" applyFont="1" applyFill="1" applyBorder="1" applyAlignment="1">
      <alignment horizontal="left" vertical="center" wrapText="1"/>
    </xf>
    <xf numFmtId="0" fontId="21" fillId="26" borderId="0" xfId="0" applyFont="1" applyFill="1"/>
    <xf numFmtId="0" fontId="22" fillId="24" borderId="0" xfId="0" applyFont="1" applyFill="1" applyAlignment="1">
      <alignment horizontal="left"/>
    </xf>
    <xf numFmtId="49" fontId="19" fillId="24" borderId="0" xfId="0" applyNumberFormat="1" applyFont="1" applyFill="1" applyAlignment="1">
      <alignment horizontal="center"/>
    </xf>
    <xf numFmtId="0" fontId="22" fillId="26" borderId="0" xfId="0" applyFont="1" applyFill="1" applyAlignment="1">
      <alignment horizontal="center" vertical="center"/>
    </xf>
    <xf numFmtId="0" fontId="21" fillId="26" borderId="0" xfId="0" applyFont="1" applyFill="1" applyAlignment="1">
      <alignment horizontal="center" vertical="center"/>
    </xf>
    <xf numFmtId="0" fontId="19" fillId="25" borderId="0" xfId="0" applyFont="1" applyFill="1" applyAlignment="1">
      <alignment horizontal="center"/>
    </xf>
    <xf numFmtId="14" fontId="19" fillId="26" borderId="0" xfId="0" applyNumberFormat="1" applyFont="1" applyFill="1" applyAlignment="1">
      <alignment horizontal="center"/>
    </xf>
    <xf numFmtId="0" fontId="26" fillId="25" borderId="0" xfId="0" applyFont="1" applyFill="1"/>
    <xf numFmtId="0" fontId="25" fillId="25" borderId="0" xfId="0" applyFont="1" applyFill="1"/>
    <xf numFmtId="0" fontId="25" fillId="25" borderId="0" xfId="0" applyFont="1" applyFill="1" applyAlignment="1">
      <alignment wrapText="1"/>
    </xf>
    <xf numFmtId="0" fontId="25" fillId="25" borderId="0" xfId="0" applyFont="1" applyFill="1" applyAlignment="1">
      <alignment horizontal="center" wrapText="1"/>
    </xf>
    <xf numFmtId="0" fontId="19" fillId="25" borderId="0" xfId="0" applyFont="1" applyFill="1" applyAlignment="1">
      <alignment wrapText="1"/>
    </xf>
    <xf numFmtId="0" fontId="26" fillId="25" borderId="0" xfId="0" applyFont="1" applyFill="1" applyAlignment="1">
      <alignment vertical="center"/>
    </xf>
    <xf numFmtId="0" fontId="19" fillId="25" borderId="0" xfId="0" applyFont="1" applyFill="1" applyAlignment="1">
      <alignment vertical="top"/>
    </xf>
    <xf numFmtId="0" fontId="21" fillId="26" borderId="0" xfId="0" applyFont="1" applyFill="1" applyAlignment="1">
      <alignment vertical="top"/>
    </xf>
    <xf numFmtId="0" fontId="27" fillId="25" borderId="0" xfId="0" applyFont="1" applyFill="1"/>
    <xf numFmtId="0" fontId="19" fillId="25" borderId="0" xfId="0" applyFont="1" applyFill="1" applyAlignment="1">
      <alignment vertical="center"/>
    </xf>
    <xf numFmtId="39" fontId="21" fillId="26" borderId="0" xfId="0" applyNumberFormat="1" applyFont="1" applyFill="1" applyAlignment="1">
      <alignment vertical="center"/>
    </xf>
    <xf numFmtId="39" fontId="21" fillId="25" borderId="0" xfId="0" applyNumberFormat="1" applyFont="1" applyFill="1" applyAlignment="1">
      <alignment vertical="center"/>
    </xf>
    <xf numFmtId="0" fontId="27" fillId="25" borderId="0" xfId="0" applyFont="1" applyFill="1" applyAlignment="1">
      <alignment vertical="center"/>
    </xf>
    <xf numFmtId="0" fontId="34" fillId="26" borderId="0" xfId="0" applyFont="1" applyFill="1" applyAlignment="1">
      <alignment vertical="center"/>
    </xf>
    <xf numFmtId="0" fontId="25" fillId="25" borderId="0" xfId="0" applyFont="1" applyFill="1" applyAlignment="1">
      <alignment vertical="center"/>
    </xf>
    <xf numFmtId="0" fontId="25" fillId="25" borderId="0" xfId="0" applyFont="1" applyFill="1" applyAlignment="1">
      <alignment vertical="center" wrapText="1"/>
    </xf>
    <xf numFmtId="0" fontId="25" fillId="25" borderId="0" xfId="0" applyFont="1" applyFill="1" applyAlignment="1">
      <alignment horizontal="center" vertical="center" wrapText="1"/>
    </xf>
    <xf numFmtId="0" fontId="19" fillId="25" borderId="0" xfId="0" applyFont="1" applyFill="1" applyAlignment="1">
      <alignment vertical="center" wrapText="1"/>
    </xf>
    <xf numFmtId="0" fontId="20" fillId="25" borderId="0" xfId="0" applyFont="1" applyFill="1" applyAlignment="1">
      <alignment vertical="center"/>
    </xf>
    <xf numFmtId="0" fontId="34" fillId="25" borderId="0" xfId="0" applyFont="1" applyFill="1" applyAlignment="1">
      <alignment vertical="center"/>
    </xf>
    <xf numFmtId="0" fontId="19" fillId="24" borderId="0" xfId="0" applyFont="1" applyFill="1" applyAlignment="1">
      <alignment vertical="center"/>
    </xf>
    <xf numFmtId="0" fontId="37" fillId="25" borderId="0" xfId="0" applyFont="1" applyFill="1" applyAlignment="1">
      <alignment vertical="center"/>
    </xf>
    <xf numFmtId="0" fontId="36" fillId="25" borderId="0" xfId="0" applyFont="1" applyFill="1" applyAlignment="1">
      <alignment horizontal="center" vertical="center"/>
    </xf>
    <xf numFmtId="166" fontId="19" fillId="35" borderId="10" xfId="0" applyNumberFormat="1" applyFont="1" applyFill="1" applyBorder="1" applyAlignment="1">
      <alignment horizontal="center" vertical="center"/>
    </xf>
    <xf numFmtId="4" fontId="19" fillId="35" borderId="10" xfId="0" applyNumberFormat="1" applyFont="1" applyFill="1" applyBorder="1" applyAlignment="1">
      <alignment vertical="center"/>
    </xf>
    <xf numFmtId="2" fontId="19" fillId="35" borderId="10" xfId="0" applyNumberFormat="1" applyFont="1" applyFill="1" applyBorder="1" applyAlignment="1">
      <alignment vertical="center"/>
    </xf>
    <xf numFmtId="166" fontId="19" fillId="29" borderId="10" xfId="0" applyNumberFormat="1" applyFont="1" applyFill="1" applyBorder="1" applyAlignment="1">
      <alignment horizontal="center" vertical="center"/>
    </xf>
    <xf numFmtId="4" fontId="19" fillId="29" borderId="10" xfId="0" applyNumberFormat="1" applyFont="1" applyFill="1" applyBorder="1" applyAlignment="1">
      <alignment vertical="center"/>
    </xf>
    <xf numFmtId="2" fontId="19" fillId="29" borderId="10" xfId="0" applyNumberFormat="1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2" fontId="24" fillId="27" borderId="10" xfId="0" applyNumberFormat="1" applyFont="1" applyFill="1" applyBorder="1" applyAlignment="1">
      <alignment horizontal="right" vertical="center"/>
    </xf>
    <xf numFmtId="0" fontId="22" fillId="37" borderId="0" xfId="0" applyFont="1" applyFill="1" applyAlignment="1">
      <alignment vertical="center"/>
    </xf>
    <xf numFmtId="2" fontId="22" fillId="25" borderId="0" xfId="0" applyNumberFormat="1" applyFont="1" applyFill="1" applyAlignment="1">
      <alignment horizontal="right" vertical="center"/>
    </xf>
    <xf numFmtId="0" fontId="40" fillId="25" borderId="0" xfId="0" applyFont="1" applyFill="1" applyAlignment="1">
      <alignment vertical="center"/>
    </xf>
    <xf numFmtId="2" fontId="22" fillId="25" borderId="0" xfId="0" applyNumberFormat="1" applyFont="1" applyFill="1" applyAlignment="1">
      <alignment vertical="center"/>
    </xf>
    <xf numFmtId="3" fontId="19" fillId="35" borderId="10" xfId="0" applyNumberFormat="1" applyFont="1" applyFill="1" applyBorder="1" applyAlignment="1">
      <alignment horizontal="center" vertical="center"/>
    </xf>
    <xf numFmtId="167" fontId="19" fillId="35" borderId="10" xfId="0" applyNumberFormat="1" applyFont="1" applyFill="1" applyBorder="1" applyAlignment="1">
      <alignment horizontal="center" vertical="center"/>
    </xf>
    <xf numFmtId="3" fontId="19" fillId="29" borderId="10" xfId="0" applyNumberFormat="1" applyFont="1" applyFill="1" applyBorder="1" applyAlignment="1">
      <alignment horizontal="center" vertical="center"/>
    </xf>
    <xf numFmtId="167" fontId="19" fillId="29" borderId="10" xfId="0" applyNumberFormat="1" applyFont="1" applyFill="1" applyBorder="1" applyAlignment="1">
      <alignment horizontal="center" vertical="center"/>
    </xf>
    <xf numFmtId="0" fontId="22" fillId="24" borderId="0" xfId="0" applyFont="1" applyFill="1" applyAlignment="1">
      <alignment vertical="center"/>
    </xf>
    <xf numFmtId="4" fontId="19" fillId="35" borderId="10" xfId="0" applyNumberFormat="1" applyFont="1" applyFill="1" applyBorder="1" applyAlignment="1">
      <alignment horizontal="right" vertical="center"/>
    </xf>
    <xf numFmtId="4" fontId="19" fillId="29" borderId="10" xfId="0" applyNumberFormat="1" applyFont="1" applyFill="1" applyBorder="1" applyAlignment="1">
      <alignment horizontal="right" vertical="center"/>
    </xf>
    <xf numFmtId="0" fontId="19" fillId="26" borderId="0" xfId="0" applyFont="1" applyFill="1" applyAlignment="1">
      <alignment vertical="center"/>
    </xf>
    <xf numFmtId="0" fontId="22" fillId="25" borderId="0" xfId="0" applyFont="1" applyFill="1" applyAlignment="1">
      <alignment vertical="center" wrapText="1"/>
    </xf>
    <xf numFmtId="0" fontId="38" fillId="25" borderId="0" xfId="0" applyFont="1" applyFill="1" applyAlignment="1">
      <alignment vertical="center" wrapText="1"/>
    </xf>
    <xf numFmtId="0" fontId="42" fillId="25" borderId="0" xfId="0" applyFont="1" applyFill="1" applyAlignment="1">
      <alignment horizontal="center" vertical="center" wrapText="1"/>
    </xf>
    <xf numFmtId="4" fontId="24" fillId="28" borderId="10" xfId="43" applyNumberFormat="1" applyFont="1" applyFill="1" applyBorder="1" applyAlignment="1" applyProtection="1">
      <alignment vertical="center"/>
    </xf>
    <xf numFmtId="0" fontId="34" fillId="25" borderId="0" xfId="0" applyFont="1" applyFill="1"/>
    <xf numFmtId="0" fontId="23" fillId="25" borderId="0" xfId="0" applyFont="1" applyFill="1"/>
    <xf numFmtId="14" fontId="20" fillId="31" borderId="13" xfId="0" applyNumberFormat="1" applyFont="1" applyFill="1" applyBorder="1" applyAlignment="1">
      <alignment horizontal="right"/>
    </xf>
    <xf numFmtId="14" fontId="20" fillId="31" borderId="13" xfId="0" applyNumberFormat="1" applyFont="1" applyFill="1" applyBorder="1"/>
    <xf numFmtId="14" fontId="19" fillId="36" borderId="10" xfId="0" applyNumberFormat="1" applyFont="1" applyFill="1" applyBorder="1" applyAlignment="1">
      <alignment horizontal="center"/>
    </xf>
    <xf numFmtId="2" fontId="19" fillId="36" borderId="10" xfId="0" applyNumberFormat="1" applyFont="1" applyFill="1" applyBorder="1" applyAlignment="1">
      <alignment horizontal="center"/>
    </xf>
    <xf numFmtId="2" fontId="19" fillId="31" borderId="10" xfId="0" applyNumberFormat="1" applyFont="1" applyFill="1" applyBorder="1" applyAlignment="1">
      <alignment horizontal="center"/>
    </xf>
    <xf numFmtId="14" fontId="20" fillId="30" borderId="14" xfId="0" applyNumberFormat="1" applyFont="1" applyFill="1" applyBorder="1" applyProtection="1">
      <protection locked="0"/>
    </xf>
    <xf numFmtId="0" fontId="20" fillId="31" borderId="13" xfId="0" applyFont="1" applyFill="1" applyBorder="1" applyAlignment="1">
      <alignment horizontal="right"/>
    </xf>
    <xf numFmtId="49" fontId="19" fillId="36" borderId="13" xfId="0" applyNumberFormat="1" applyFont="1" applyFill="1" applyBorder="1" applyAlignment="1">
      <alignment vertical="center" wrapText="1"/>
    </xf>
    <xf numFmtId="49" fontId="19" fillId="31" borderId="13" xfId="0" applyNumberFormat="1" applyFont="1" applyFill="1" applyBorder="1" applyAlignment="1">
      <alignment vertical="center" wrapText="1"/>
    </xf>
    <xf numFmtId="14" fontId="19" fillId="31" borderId="10" xfId="0" applyNumberFormat="1" applyFont="1" applyFill="1" applyBorder="1" applyAlignment="1">
      <alignment horizontal="center"/>
    </xf>
    <xf numFmtId="14" fontId="19" fillId="31" borderId="17" xfId="0" applyNumberFormat="1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 vertical="center"/>
    </xf>
    <xf numFmtId="165" fontId="19" fillId="35" borderId="10" xfId="0" applyNumberFormat="1" applyFont="1" applyFill="1" applyBorder="1" applyAlignment="1">
      <alignment horizontal="center" vertical="center"/>
    </xf>
    <xf numFmtId="165" fontId="19" fillId="29" borderId="1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right"/>
    </xf>
    <xf numFmtId="4" fontId="34" fillId="25" borderId="0" xfId="0" applyNumberFormat="1" applyFont="1" applyFill="1"/>
    <xf numFmtId="39" fontId="19" fillId="32" borderId="10" xfId="0" applyNumberFormat="1" applyFont="1" applyFill="1" applyBorder="1" applyAlignment="1" applyProtection="1">
      <alignment vertical="center" wrapText="1"/>
      <protection locked="0"/>
    </xf>
    <xf numFmtId="8" fontId="50" fillId="40" borderId="32" xfId="0" applyNumberFormat="1" applyFont="1" applyFill="1" applyBorder="1" applyAlignment="1">
      <alignment horizontal="center" vertical="center" wrapText="1"/>
    </xf>
    <xf numFmtId="8" fontId="49" fillId="40" borderId="33" xfId="0" applyNumberFormat="1" applyFont="1" applyFill="1" applyBorder="1" applyAlignment="1">
      <alignment horizontal="center" vertical="center" wrapText="1"/>
    </xf>
    <xf numFmtId="8" fontId="50" fillId="40" borderId="33" xfId="0" applyNumberFormat="1" applyFont="1" applyFill="1" applyBorder="1" applyAlignment="1">
      <alignment horizontal="center" vertical="center" wrapText="1"/>
    </xf>
    <xf numFmtId="8" fontId="0" fillId="0" borderId="0" xfId="0" applyNumberFormat="1" applyAlignment="1">
      <alignment vertical="center"/>
    </xf>
    <xf numFmtId="8" fontId="51" fillId="0" borderId="0" xfId="0" applyNumberFormat="1" applyFont="1" applyAlignment="1">
      <alignment vertical="center"/>
    </xf>
    <xf numFmtId="4" fontId="5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8" fontId="0" fillId="0" borderId="0" xfId="0" applyNumberFormat="1" applyAlignment="1">
      <alignment horizontal="center" vertical="center"/>
    </xf>
    <xf numFmtId="8" fontId="51" fillId="0" borderId="0" xfId="0" applyNumberFormat="1" applyFont="1" applyAlignment="1">
      <alignment horizontal="center" vertical="center"/>
    </xf>
    <xf numFmtId="39" fontId="19" fillId="32" borderId="35" xfId="0" applyNumberFormat="1" applyFont="1" applyFill="1" applyBorder="1" applyAlignment="1" applyProtection="1">
      <alignment horizontal="right" vertical="center" wrapText="1"/>
      <protection locked="0"/>
    </xf>
    <xf numFmtId="3" fontId="24" fillId="27" borderId="10" xfId="0" applyNumberFormat="1" applyFont="1" applyFill="1" applyBorder="1" applyAlignment="1">
      <alignment horizontal="right" vertical="center" wrapText="1"/>
    </xf>
    <xf numFmtId="0" fontId="19" fillId="35" borderId="11" xfId="0" applyFont="1" applyFill="1" applyBorder="1" applyAlignment="1">
      <alignment horizontal="left" vertical="center" wrapText="1"/>
    </xf>
    <xf numFmtId="0" fontId="19" fillId="35" borderId="34" xfId="0" applyFont="1" applyFill="1" applyBorder="1" applyAlignment="1">
      <alignment horizontal="left" vertical="center" wrapText="1"/>
    </xf>
    <xf numFmtId="0" fontId="19" fillId="29" borderId="11" xfId="0" applyFont="1" applyFill="1" applyBorder="1" applyAlignment="1">
      <alignment horizontal="left" vertical="center" wrapText="1"/>
    </xf>
    <xf numFmtId="0" fontId="24" fillId="27" borderId="10" xfId="0" applyFont="1" applyFill="1" applyBorder="1" applyAlignment="1">
      <alignment horizontal="left" vertical="center"/>
    </xf>
    <xf numFmtId="39" fontId="19" fillId="35" borderId="10" xfId="0" applyNumberFormat="1" applyFont="1" applyFill="1" applyBorder="1" applyAlignment="1">
      <alignment horizontal="left" vertical="center" wrapText="1"/>
    </xf>
    <xf numFmtId="0" fontId="19" fillId="29" borderId="13" xfId="0" applyFont="1" applyFill="1" applyBorder="1" applyAlignment="1">
      <alignment horizontal="left" vertical="center" wrapText="1"/>
    </xf>
    <xf numFmtId="0" fontId="19" fillId="29" borderId="14" xfId="0" applyFont="1" applyFill="1" applyBorder="1" applyAlignment="1">
      <alignment horizontal="left" vertical="center" wrapText="1"/>
    </xf>
    <xf numFmtId="0" fontId="19" fillId="29" borderId="12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horizontal="left"/>
    </xf>
    <xf numFmtId="0" fontId="24" fillId="28" borderId="13" xfId="0" applyFont="1" applyFill="1" applyBorder="1" applyAlignment="1">
      <alignment horizontal="left" vertical="center" wrapText="1"/>
    </xf>
    <xf numFmtId="0" fontId="24" fillId="28" borderId="12" xfId="0" applyFont="1" applyFill="1" applyBorder="1" applyAlignment="1">
      <alignment horizontal="left" vertical="center" wrapText="1"/>
    </xf>
    <xf numFmtId="39" fontId="19" fillId="32" borderId="10" xfId="0" applyNumberFormat="1" applyFont="1" applyFill="1" applyBorder="1" applyAlignment="1" applyProtection="1">
      <alignment horizontal="left" vertical="center" wrapText="1"/>
      <protection locked="0"/>
    </xf>
    <xf numFmtId="0" fontId="19" fillId="25" borderId="0" xfId="0" applyFont="1" applyFill="1" applyAlignment="1">
      <alignment horizontal="justify" vertical="center" wrapText="1"/>
    </xf>
    <xf numFmtId="0" fontId="19" fillId="35" borderId="13" xfId="0" applyFont="1" applyFill="1" applyBorder="1" applyAlignment="1">
      <alignment horizontal="left" vertical="center" wrapText="1"/>
    </xf>
    <xf numFmtId="0" fontId="19" fillId="35" borderId="14" xfId="0" applyFont="1" applyFill="1" applyBorder="1" applyAlignment="1">
      <alignment horizontal="left" vertical="center" wrapText="1"/>
    </xf>
    <xf numFmtId="0" fontId="19" fillId="35" borderId="12" xfId="0" applyFont="1" applyFill="1" applyBorder="1" applyAlignment="1">
      <alignment horizontal="left" vertical="center" wrapText="1"/>
    </xf>
    <xf numFmtId="0" fontId="30" fillId="25" borderId="0" xfId="0" applyFont="1" applyFill="1" applyAlignment="1">
      <alignment horizontal="left" wrapText="1"/>
    </xf>
    <xf numFmtId="0" fontId="24" fillId="27" borderId="13" xfId="0" applyFont="1" applyFill="1" applyBorder="1" applyAlignment="1">
      <alignment horizontal="left" vertical="center" wrapText="1"/>
    </xf>
    <xf numFmtId="0" fontId="24" fillId="27" borderId="14" xfId="0" applyFont="1" applyFill="1" applyBorder="1" applyAlignment="1">
      <alignment horizontal="left" vertical="center" wrapText="1"/>
    </xf>
    <xf numFmtId="0" fontId="24" fillId="27" borderId="12" xfId="0" applyFont="1" applyFill="1" applyBorder="1" applyAlignment="1">
      <alignment horizontal="left" vertical="center" wrapText="1"/>
    </xf>
    <xf numFmtId="4" fontId="19" fillId="33" borderId="13" xfId="0" applyNumberFormat="1" applyFont="1" applyFill="1" applyBorder="1" applyAlignment="1" applyProtection="1">
      <alignment horizontal="left" vertical="center" wrapText="1"/>
      <protection locked="0"/>
    </xf>
    <xf numFmtId="4" fontId="19" fillId="33" borderId="14" xfId="0" applyNumberFormat="1" applyFont="1" applyFill="1" applyBorder="1" applyAlignment="1" applyProtection="1">
      <alignment horizontal="left" vertical="center" wrapText="1"/>
      <protection locked="0"/>
    </xf>
    <xf numFmtId="4" fontId="19" fillId="33" borderId="12" xfId="0" applyNumberFormat="1" applyFont="1" applyFill="1" applyBorder="1" applyAlignment="1" applyProtection="1">
      <alignment horizontal="left" vertical="center" wrapText="1"/>
      <protection locked="0"/>
    </xf>
    <xf numFmtId="0" fontId="24" fillId="27" borderId="13" xfId="0" applyFont="1" applyFill="1" applyBorder="1" applyAlignment="1">
      <alignment horizontal="left" vertical="center"/>
    </xf>
    <xf numFmtId="0" fontId="24" fillId="27" borderId="14" xfId="0" applyFont="1" applyFill="1" applyBorder="1" applyAlignment="1">
      <alignment horizontal="left" vertical="center"/>
    </xf>
    <xf numFmtId="0" fontId="24" fillId="27" borderId="12" xfId="0" applyFont="1" applyFill="1" applyBorder="1" applyAlignment="1">
      <alignment horizontal="left" vertical="center"/>
    </xf>
    <xf numFmtId="0" fontId="24" fillId="28" borderId="11" xfId="0" applyFont="1" applyFill="1" applyBorder="1" applyAlignment="1">
      <alignment horizontal="left" vertical="center" wrapText="1"/>
    </xf>
    <xf numFmtId="0" fontId="22" fillId="36" borderId="0" xfId="0" applyFont="1" applyFill="1" applyAlignment="1">
      <alignment horizontal="justify" vertical="center" wrapText="1"/>
    </xf>
    <xf numFmtId="0" fontId="22" fillId="36" borderId="28" xfId="0" applyFont="1" applyFill="1" applyBorder="1" applyAlignment="1">
      <alignment horizontal="justify" vertical="center" wrapText="1"/>
    </xf>
    <xf numFmtId="0" fontId="22" fillId="31" borderId="0" xfId="0" applyFont="1" applyFill="1" applyAlignment="1">
      <alignment horizontal="justify" vertical="center" wrapText="1"/>
    </xf>
    <xf numFmtId="0" fontId="22" fillId="31" borderId="28" xfId="0" applyFont="1" applyFill="1" applyBorder="1" applyAlignment="1">
      <alignment horizontal="justify" vertical="center" wrapText="1"/>
    </xf>
    <xf numFmtId="0" fontId="19" fillId="31" borderId="13" xfId="0" applyFont="1" applyFill="1" applyBorder="1" applyAlignment="1">
      <alignment horizontal="left" vertical="center" wrapText="1"/>
    </xf>
    <xf numFmtId="0" fontId="19" fillId="31" borderId="14" xfId="0" applyFont="1" applyFill="1" applyBorder="1" applyAlignment="1">
      <alignment horizontal="left" vertical="center" wrapText="1"/>
    </xf>
    <xf numFmtId="0" fontId="19" fillId="31" borderId="12" xfId="0" applyFont="1" applyFill="1" applyBorder="1" applyAlignment="1">
      <alignment horizontal="left" vertical="center" wrapText="1"/>
    </xf>
    <xf numFmtId="0" fontId="19" fillId="36" borderId="10" xfId="0" applyFont="1" applyFill="1" applyBorder="1" applyAlignment="1">
      <alignment horizontal="left"/>
    </xf>
    <xf numFmtId="49" fontId="19" fillId="30" borderId="13" xfId="0" applyNumberFormat="1" applyFont="1" applyFill="1" applyBorder="1" applyAlignment="1" applyProtection="1">
      <alignment horizontal="center"/>
      <protection locked="0"/>
    </xf>
    <xf numFmtId="49" fontId="19" fillId="30" borderId="12" xfId="0" applyNumberFormat="1" applyFont="1" applyFill="1" applyBorder="1" applyAlignment="1" applyProtection="1">
      <alignment horizontal="center"/>
      <protection locked="0"/>
    </xf>
    <xf numFmtId="0" fontId="24" fillId="27" borderId="15" xfId="0" applyFont="1" applyFill="1" applyBorder="1" applyAlignment="1">
      <alignment horizontal="left"/>
    </xf>
    <xf numFmtId="0" fontId="39" fillId="38" borderId="10" xfId="0" applyFont="1" applyFill="1" applyBorder="1" applyAlignment="1">
      <alignment horizontal="center" vertical="center"/>
    </xf>
    <xf numFmtId="0" fontId="44" fillId="28" borderId="13" xfId="0" applyFont="1" applyFill="1" applyBorder="1" applyAlignment="1">
      <alignment horizontal="left" vertical="center" wrapText="1"/>
    </xf>
    <xf numFmtId="0" fontId="44" fillId="28" borderId="14" xfId="0" applyFont="1" applyFill="1" applyBorder="1" applyAlignment="1">
      <alignment horizontal="left" vertical="center" wrapText="1"/>
    </xf>
    <xf numFmtId="0" fontId="44" fillId="28" borderId="12" xfId="0" applyFont="1" applyFill="1" applyBorder="1" applyAlignment="1">
      <alignment horizontal="left" vertical="center" wrapText="1"/>
    </xf>
    <xf numFmtId="0" fontId="24" fillId="38" borderId="13" xfId="0" applyFont="1" applyFill="1" applyBorder="1" applyAlignment="1">
      <alignment horizontal="center" vertical="center" wrapText="1"/>
    </xf>
    <xf numFmtId="0" fontId="24" fillId="38" borderId="14" xfId="0" applyFont="1" applyFill="1" applyBorder="1" applyAlignment="1">
      <alignment horizontal="center" vertical="center" wrapText="1"/>
    </xf>
    <xf numFmtId="0" fontId="24" fillId="38" borderId="12" xfId="0" applyFont="1" applyFill="1" applyBorder="1" applyAlignment="1">
      <alignment horizontal="center" vertical="center" wrapText="1"/>
    </xf>
    <xf numFmtId="0" fontId="22" fillId="36" borderId="19" xfId="0" applyFont="1" applyFill="1" applyBorder="1" applyAlignment="1">
      <alignment horizontal="justify" vertical="center" wrapText="1"/>
    </xf>
    <xf numFmtId="0" fontId="22" fillId="36" borderId="20" xfId="0" applyFont="1" applyFill="1" applyBorder="1" applyAlignment="1">
      <alignment horizontal="justify" vertical="center" wrapText="1"/>
    </xf>
    <xf numFmtId="0" fontId="22" fillId="36" borderId="21" xfId="0" applyFont="1" applyFill="1" applyBorder="1" applyAlignment="1">
      <alignment horizontal="justify" vertical="center" wrapText="1"/>
    </xf>
    <xf numFmtId="0" fontId="19" fillId="35" borderId="10" xfId="0" applyFont="1" applyFill="1" applyBorder="1" applyAlignment="1">
      <alignment horizontal="center"/>
    </xf>
    <xf numFmtId="0" fontId="43" fillId="25" borderId="0" xfId="0" applyFont="1" applyFill="1" applyAlignment="1">
      <alignment horizontal="center" vertical="center" wrapText="1"/>
    </xf>
    <xf numFmtId="0" fontId="44" fillId="28" borderId="10" xfId="0" applyFont="1" applyFill="1" applyBorder="1" applyAlignment="1">
      <alignment horizontal="center" vertical="center" wrapText="1"/>
    </xf>
    <xf numFmtId="0" fontId="24" fillId="27" borderId="17" xfId="0" applyFont="1" applyFill="1" applyBorder="1" applyAlignment="1">
      <alignment horizontal="center" vertical="center" wrapText="1"/>
    </xf>
    <xf numFmtId="0" fontId="24" fillId="27" borderId="18" xfId="0" applyFont="1" applyFill="1" applyBorder="1" applyAlignment="1">
      <alignment horizontal="center" vertical="center" wrapText="1"/>
    </xf>
    <xf numFmtId="0" fontId="24" fillId="27" borderId="15" xfId="0" applyFont="1" applyFill="1" applyBorder="1" applyAlignment="1">
      <alignment horizontal="center" vertical="center" wrapText="1"/>
    </xf>
    <xf numFmtId="0" fontId="44" fillId="28" borderId="17" xfId="0" applyFont="1" applyFill="1" applyBorder="1" applyAlignment="1">
      <alignment horizontal="center" vertical="center" wrapText="1"/>
    </xf>
    <xf numFmtId="0" fontId="44" fillId="28" borderId="15" xfId="0" applyFont="1" applyFill="1" applyBorder="1" applyAlignment="1">
      <alignment horizontal="center" vertical="center" wrapText="1"/>
    </xf>
    <xf numFmtId="0" fontId="44" fillId="28" borderId="18" xfId="0" applyFont="1" applyFill="1" applyBorder="1" applyAlignment="1">
      <alignment horizontal="center" vertical="center" wrapText="1"/>
    </xf>
    <xf numFmtId="0" fontId="44" fillId="28" borderId="13" xfId="0" applyFont="1" applyFill="1" applyBorder="1" applyAlignment="1">
      <alignment horizontal="right" vertical="center" wrapText="1"/>
    </xf>
    <xf numFmtId="0" fontId="44" fillId="28" borderId="14" xfId="0" applyFont="1" applyFill="1" applyBorder="1" applyAlignment="1">
      <alignment horizontal="right" vertical="center" wrapText="1"/>
    </xf>
    <xf numFmtId="0" fontId="20" fillId="30" borderId="13" xfId="0" applyFont="1" applyFill="1" applyBorder="1" applyAlignment="1" applyProtection="1">
      <alignment horizontal="left"/>
      <protection locked="0"/>
    </xf>
    <xf numFmtId="0" fontId="20" fillId="30" borderId="14" xfId="0" applyFont="1" applyFill="1" applyBorder="1" applyAlignment="1" applyProtection="1">
      <alignment horizontal="left"/>
      <protection locked="0"/>
    </xf>
    <xf numFmtId="0" fontId="20" fillId="30" borderId="12" xfId="0" applyFont="1" applyFill="1" applyBorder="1" applyAlignment="1" applyProtection="1">
      <alignment horizontal="left"/>
      <protection locked="0"/>
    </xf>
    <xf numFmtId="0" fontId="26" fillId="25" borderId="0" xfId="0" applyFont="1" applyFill="1" applyAlignment="1">
      <alignment horizontal="center"/>
    </xf>
    <xf numFmtId="0" fontId="19" fillId="30" borderId="10" xfId="0" applyFont="1" applyFill="1" applyBorder="1" applyAlignment="1" applyProtection="1">
      <alignment horizontal="center"/>
      <protection locked="0"/>
    </xf>
    <xf numFmtId="39" fontId="19" fillId="32" borderId="13" xfId="0" applyNumberFormat="1" applyFont="1" applyFill="1" applyBorder="1" applyAlignment="1" applyProtection="1">
      <alignment horizontal="left" vertical="center" wrapText="1"/>
      <protection locked="0"/>
    </xf>
    <xf numFmtId="39" fontId="19" fillId="32" borderId="12" xfId="0" applyNumberFormat="1" applyFont="1" applyFill="1" applyBorder="1" applyAlignment="1" applyProtection="1">
      <alignment horizontal="left" vertical="center" wrapText="1"/>
      <protection locked="0"/>
    </xf>
    <xf numFmtId="0" fontId="19" fillId="31" borderId="10" xfId="0" applyFont="1" applyFill="1" applyBorder="1" applyAlignment="1">
      <alignment horizontal="left"/>
    </xf>
    <xf numFmtId="0" fontId="19" fillId="30" borderId="10" xfId="0" applyFont="1" applyFill="1" applyBorder="1" applyAlignment="1" applyProtection="1">
      <alignment horizontal="right"/>
      <protection locked="0"/>
    </xf>
    <xf numFmtId="0" fontId="19" fillId="30" borderId="10" xfId="0" applyFont="1" applyFill="1" applyBorder="1" applyAlignment="1" applyProtection="1">
      <alignment horizontal="left" vertical="center"/>
      <protection locked="0"/>
    </xf>
    <xf numFmtId="0" fontId="19" fillId="29" borderId="10" xfId="0" applyFont="1" applyFill="1" applyBorder="1" applyAlignment="1">
      <alignment horizontal="left"/>
    </xf>
    <xf numFmtId="0" fontId="19" fillId="35" borderId="13" xfId="0" applyFont="1" applyFill="1" applyBorder="1" applyAlignment="1">
      <alignment horizontal="left"/>
    </xf>
    <xf numFmtId="0" fontId="19" fillId="35" borderId="14" xfId="0" applyFont="1" applyFill="1" applyBorder="1" applyAlignment="1">
      <alignment horizontal="left"/>
    </xf>
    <xf numFmtId="0" fontId="19" fillId="35" borderId="12" xfId="0" applyFont="1" applyFill="1" applyBorder="1" applyAlignment="1">
      <alignment horizontal="left"/>
    </xf>
    <xf numFmtId="39" fontId="19" fillId="29" borderId="13" xfId="0" applyNumberFormat="1" applyFont="1" applyFill="1" applyBorder="1" applyAlignment="1">
      <alignment horizontal="left" vertical="center" wrapText="1"/>
    </xf>
    <xf numFmtId="39" fontId="19" fillId="29" borderId="14" xfId="0" applyNumberFormat="1" applyFont="1" applyFill="1" applyBorder="1" applyAlignment="1">
      <alignment horizontal="left" vertical="center" wrapText="1"/>
    </xf>
    <xf numFmtId="39" fontId="19" fillId="29" borderId="12" xfId="0" applyNumberFormat="1" applyFont="1" applyFill="1" applyBorder="1" applyAlignment="1">
      <alignment horizontal="left" vertical="center" wrapText="1"/>
    </xf>
    <xf numFmtId="0" fontId="24" fillId="28" borderId="10" xfId="0" applyFont="1" applyFill="1" applyBorder="1" applyAlignment="1">
      <alignment horizontal="left" vertical="center" wrapText="1"/>
    </xf>
    <xf numFmtId="0" fontId="19" fillId="29" borderId="13" xfId="0" applyFont="1" applyFill="1" applyBorder="1" applyAlignment="1" applyProtection="1">
      <alignment horizontal="center"/>
      <protection locked="0"/>
    </xf>
    <xf numFmtId="0" fontId="19" fillId="29" borderId="14" xfId="0" applyFont="1" applyFill="1" applyBorder="1" applyAlignment="1" applyProtection="1">
      <alignment horizontal="center"/>
      <protection locked="0"/>
    </xf>
    <xf numFmtId="0" fontId="19" fillId="29" borderId="12" xfId="0" applyFont="1" applyFill="1" applyBorder="1" applyAlignment="1" applyProtection="1">
      <alignment horizontal="center"/>
      <protection locked="0"/>
    </xf>
    <xf numFmtId="39" fontId="19" fillId="32" borderId="14" xfId="0" applyNumberFormat="1" applyFont="1" applyFill="1" applyBorder="1" applyAlignment="1" applyProtection="1">
      <alignment horizontal="left" vertical="center" wrapText="1"/>
      <protection locked="0"/>
    </xf>
    <xf numFmtId="0" fontId="19" fillId="29" borderId="13" xfId="0" applyFont="1" applyFill="1" applyBorder="1" applyAlignment="1">
      <alignment horizontal="left" vertical="center"/>
    </xf>
    <xf numFmtId="0" fontId="19" fillId="29" borderId="14" xfId="0" applyFont="1" applyFill="1" applyBorder="1" applyAlignment="1">
      <alignment horizontal="left" vertical="center"/>
    </xf>
    <xf numFmtId="0" fontId="19" fillId="29" borderId="12" xfId="0" applyFont="1" applyFill="1" applyBorder="1" applyAlignment="1">
      <alignment horizontal="left" vertical="center"/>
    </xf>
    <xf numFmtId="39" fontId="19" fillId="29" borderId="10" xfId="0" applyNumberFormat="1" applyFont="1" applyFill="1" applyBorder="1" applyAlignment="1">
      <alignment horizontal="left" vertical="center" wrapText="1"/>
    </xf>
    <xf numFmtId="0" fontId="19" fillId="29" borderId="10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horizontal="justify" vertical="center"/>
    </xf>
    <xf numFmtId="0" fontId="24" fillId="27" borderId="10" xfId="0" applyFont="1" applyFill="1" applyBorder="1" applyAlignment="1">
      <alignment horizontal="left" vertical="center" wrapText="1"/>
    </xf>
    <xf numFmtId="0" fontId="19" fillId="29" borderId="10" xfId="0" applyFont="1" applyFill="1" applyBorder="1" applyAlignment="1">
      <alignment horizontal="justify" vertical="center"/>
    </xf>
    <xf numFmtId="0" fontId="24" fillId="27" borderId="10" xfId="0" applyFont="1" applyFill="1" applyBorder="1" applyAlignment="1">
      <alignment horizontal="justify" vertical="center" wrapText="1"/>
    </xf>
    <xf numFmtId="0" fontId="30" fillId="25" borderId="20" xfId="0" applyFont="1" applyFill="1" applyBorder="1" applyAlignment="1">
      <alignment horizontal="left" vertical="center" wrapText="1"/>
    </xf>
    <xf numFmtId="0" fontId="23" fillId="29" borderId="10" xfId="0" applyFont="1" applyFill="1" applyBorder="1" applyAlignment="1">
      <alignment horizontal="left" vertical="center" wrapText="1" indent="1"/>
    </xf>
    <xf numFmtId="0" fontId="23" fillId="35" borderId="10" xfId="0" applyFont="1" applyFill="1" applyBorder="1" applyAlignment="1">
      <alignment horizontal="left" vertical="center" wrapText="1" indent="1"/>
    </xf>
    <xf numFmtId="0" fontId="24" fillId="34" borderId="11" xfId="0" applyFont="1" applyFill="1" applyBorder="1" applyAlignment="1">
      <alignment horizontal="left" vertical="center" wrapText="1"/>
    </xf>
    <xf numFmtId="4" fontId="19" fillId="29" borderId="10" xfId="0" applyNumberFormat="1" applyFont="1" applyFill="1" applyBorder="1" applyAlignment="1">
      <alignment horizontal="left" vertical="center" wrapText="1"/>
    </xf>
    <xf numFmtId="4" fontId="19" fillId="29" borderId="11" xfId="0" applyNumberFormat="1" applyFont="1" applyFill="1" applyBorder="1" applyAlignment="1">
      <alignment horizontal="left" vertical="center" wrapText="1"/>
    </xf>
    <xf numFmtId="39" fontId="19" fillId="35" borderId="13" xfId="0" applyNumberFormat="1" applyFont="1" applyFill="1" applyBorder="1" applyAlignment="1">
      <alignment horizontal="left" vertical="center" wrapText="1"/>
    </xf>
    <xf numFmtId="39" fontId="19" fillId="35" borderId="14" xfId="0" applyNumberFormat="1" applyFont="1" applyFill="1" applyBorder="1" applyAlignment="1">
      <alignment horizontal="left" vertical="center" wrapText="1"/>
    </xf>
    <xf numFmtId="39" fontId="19" fillId="35" borderId="12" xfId="0" applyNumberFormat="1" applyFont="1" applyFill="1" applyBorder="1" applyAlignment="1">
      <alignment horizontal="left" vertical="center" wrapText="1"/>
    </xf>
    <xf numFmtId="0" fontId="24" fillId="34" borderId="10" xfId="0" applyFont="1" applyFill="1" applyBorder="1" applyAlignment="1">
      <alignment horizontal="left" vertical="center" wrapText="1"/>
    </xf>
    <xf numFmtId="0" fontId="30" fillId="25" borderId="0" xfId="0" applyFont="1" applyFill="1" applyAlignment="1">
      <alignment horizontal="justify" vertical="center" wrapText="1"/>
    </xf>
    <xf numFmtId="0" fontId="19" fillId="29" borderId="17" xfId="0" applyFont="1" applyFill="1" applyBorder="1" applyAlignment="1">
      <alignment horizontal="left"/>
    </xf>
    <xf numFmtId="0" fontId="33" fillId="25" borderId="0" xfId="0" applyFont="1" applyFill="1" applyAlignment="1">
      <alignment horizontal="center" vertical="center"/>
    </xf>
    <xf numFmtId="0" fontId="19" fillId="29" borderId="10" xfId="0" applyFont="1" applyFill="1" applyBorder="1" applyAlignment="1">
      <alignment horizontal="center"/>
    </xf>
    <xf numFmtId="0" fontId="19" fillId="31" borderId="10" xfId="0" applyFont="1" applyFill="1" applyBorder="1" applyAlignment="1">
      <alignment horizontal="left" vertical="center"/>
    </xf>
    <xf numFmtId="0" fontId="19" fillId="36" borderId="10" xfId="0" applyFont="1" applyFill="1" applyBorder="1" applyAlignment="1">
      <alignment horizontal="left" vertical="center"/>
    </xf>
    <xf numFmtId="0" fontId="19" fillId="31" borderId="10" xfId="0" applyFont="1" applyFill="1" applyBorder="1" applyAlignment="1">
      <alignment horizontal="right"/>
    </xf>
    <xf numFmtId="0" fontId="32" fillId="0" borderId="0" xfId="0" applyFont="1" applyAlignment="1">
      <alignment horizontal="center"/>
    </xf>
    <xf numFmtId="0" fontId="20" fillId="36" borderId="13" xfId="0" applyFont="1" applyFill="1" applyBorder="1" applyAlignment="1">
      <alignment horizontal="left"/>
    </xf>
    <xf numFmtId="0" fontId="20" fillId="36" borderId="14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1" borderId="13" xfId="0" applyFont="1" applyFill="1" applyBorder="1" applyAlignment="1">
      <alignment horizontal="left"/>
    </xf>
    <xf numFmtId="0" fontId="20" fillId="31" borderId="14" xfId="0" applyFont="1" applyFill="1" applyBorder="1" applyAlignment="1">
      <alignment horizontal="left"/>
    </xf>
    <xf numFmtId="0" fontId="20" fillId="31" borderId="12" xfId="0" applyFont="1" applyFill="1" applyBorder="1" applyAlignment="1">
      <alignment horizontal="left"/>
    </xf>
    <xf numFmtId="0" fontId="19" fillId="36" borderId="10" xfId="0" applyFont="1" applyFill="1" applyBorder="1" applyAlignment="1">
      <alignment horizontal="center"/>
    </xf>
    <xf numFmtId="0" fontId="24" fillId="28" borderId="25" xfId="0" applyFont="1" applyFill="1" applyBorder="1" applyAlignment="1">
      <alignment horizontal="left" vertical="center"/>
    </xf>
    <xf numFmtId="0" fontId="24" fillId="28" borderId="0" xfId="0" applyFont="1" applyFill="1" applyAlignment="1">
      <alignment horizontal="left" vertical="center"/>
    </xf>
    <xf numFmtId="0" fontId="24" fillId="28" borderId="28" xfId="0" applyFont="1" applyFill="1" applyBorder="1" applyAlignment="1">
      <alignment horizontal="left" vertical="center"/>
    </xf>
    <xf numFmtId="0" fontId="24" fillId="28" borderId="10" xfId="0" applyFont="1" applyFill="1" applyBorder="1" applyAlignment="1">
      <alignment horizontal="center" vertical="center" wrapText="1"/>
    </xf>
    <xf numFmtId="0" fontId="24" fillId="28" borderId="10" xfId="0" applyFont="1" applyFill="1" applyBorder="1" applyAlignment="1">
      <alignment horizontal="left" vertical="center"/>
    </xf>
    <xf numFmtId="0" fontId="38" fillId="26" borderId="0" xfId="0" applyFont="1" applyFill="1" applyAlignment="1">
      <alignment horizontal="justify" vertical="center" wrapText="1"/>
    </xf>
    <xf numFmtId="0" fontId="24" fillId="28" borderId="10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left" vertical="center" wrapText="1"/>
    </xf>
    <xf numFmtId="0" fontId="24" fillId="28" borderId="19" xfId="0" applyFont="1" applyFill="1" applyBorder="1" applyAlignment="1">
      <alignment horizontal="center" vertical="center" wrapText="1"/>
    </xf>
    <xf numFmtId="0" fontId="24" fillId="28" borderId="20" xfId="0" applyFont="1" applyFill="1" applyBorder="1" applyAlignment="1">
      <alignment horizontal="center" vertical="center" wrapText="1"/>
    </xf>
    <xf numFmtId="0" fontId="24" fillId="28" borderId="21" xfId="0" applyFont="1" applyFill="1" applyBorder="1" applyAlignment="1">
      <alignment horizontal="center" vertical="center" wrapText="1"/>
    </xf>
    <xf numFmtId="0" fontId="24" fillId="28" borderId="22" xfId="0" applyFont="1" applyFill="1" applyBorder="1" applyAlignment="1">
      <alignment horizontal="center" vertical="center" wrapText="1"/>
    </xf>
    <xf numFmtId="0" fontId="24" fillId="28" borderId="16" xfId="0" applyFont="1" applyFill="1" applyBorder="1" applyAlignment="1">
      <alignment horizontal="center" vertical="center" wrapText="1"/>
    </xf>
    <xf numFmtId="0" fontId="24" fillId="28" borderId="31" xfId="0" applyFont="1" applyFill="1" applyBorder="1" applyAlignment="1">
      <alignment horizontal="center" vertical="center" wrapText="1"/>
    </xf>
    <xf numFmtId="0" fontId="38" fillId="24" borderId="0" xfId="0" applyFont="1" applyFill="1" applyAlignment="1">
      <alignment horizontal="justify" vertical="center" wrapText="1"/>
    </xf>
    <xf numFmtId="0" fontId="38" fillId="24" borderId="0" xfId="0" applyFont="1" applyFill="1" applyAlignment="1">
      <alignment horizontal="justify" vertical="center"/>
    </xf>
    <xf numFmtId="0" fontId="20" fillId="36" borderId="13" xfId="0" applyFont="1" applyFill="1" applyBorder="1" applyAlignment="1">
      <alignment horizontal="left" vertical="center"/>
    </xf>
    <xf numFmtId="0" fontId="20" fillId="36" borderId="14" xfId="0" applyFont="1" applyFill="1" applyBorder="1" applyAlignment="1">
      <alignment horizontal="left" vertical="center"/>
    </xf>
    <xf numFmtId="0" fontId="20" fillId="36" borderId="12" xfId="0" applyFont="1" applyFill="1" applyBorder="1" applyAlignment="1">
      <alignment horizontal="left" vertical="center"/>
    </xf>
    <xf numFmtId="0" fontId="35" fillId="25" borderId="0" xfId="0" applyFont="1" applyFill="1" applyAlignment="1">
      <alignment horizontal="center" vertical="center"/>
    </xf>
    <xf numFmtId="0" fontId="36" fillId="25" borderId="0" xfId="0" applyFont="1" applyFill="1" applyAlignment="1">
      <alignment horizontal="center" vertical="center"/>
    </xf>
    <xf numFmtId="0" fontId="36" fillId="26" borderId="0" xfId="0" applyFont="1" applyFill="1" applyAlignment="1">
      <alignment horizontal="center" vertical="center"/>
    </xf>
    <xf numFmtId="0" fontId="20" fillId="31" borderId="13" xfId="0" applyFont="1" applyFill="1" applyBorder="1" applyAlignment="1">
      <alignment horizontal="left" vertical="center"/>
    </xf>
    <xf numFmtId="0" fontId="20" fillId="31" borderId="14" xfId="0" applyFont="1" applyFill="1" applyBorder="1" applyAlignment="1">
      <alignment horizontal="left" vertical="center"/>
    </xf>
    <xf numFmtId="0" fontId="20" fillId="31" borderId="12" xfId="0" applyFont="1" applyFill="1" applyBorder="1" applyAlignment="1">
      <alignment horizontal="left" vertical="center"/>
    </xf>
    <xf numFmtId="0" fontId="39" fillId="27" borderId="10" xfId="0" applyFont="1" applyFill="1" applyBorder="1" applyAlignment="1">
      <alignment horizontal="center" vertical="center"/>
    </xf>
    <xf numFmtId="0" fontId="31" fillId="25" borderId="0" xfId="0" applyFont="1" applyFill="1" applyAlignment="1">
      <alignment horizontal="center" vertical="center" wrapText="1"/>
    </xf>
    <xf numFmtId="0" fontId="31" fillId="25" borderId="16" xfId="0" applyFont="1" applyFill="1" applyBorder="1" applyAlignment="1">
      <alignment horizontal="center" vertical="center" wrapText="1"/>
    </xf>
    <xf numFmtId="0" fontId="24" fillId="28" borderId="13" xfId="0" applyFont="1" applyFill="1" applyBorder="1" applyAlignment="1">
      <alignment horizontal="center" vertical="center" wrapText="1"/>
    </xf>
    <xf numFmtId="0" fontId="24" fillId="28" borderId="12" xfId="0" applyFont="1" applyFill="1" applyBorder="1" applyAlignment="1">
      <alignment horizontal="center" vertical="center" wrapText="1"/>
    </xf>
    <xf numFmtId="0" fontId="24" fillId="27" borderId="13" xfId="0" applyFont="1" applyFill="1" applyBorder="1" applyAlignment="1">
      <alignment horizontal="justify" vertical="center" wrapText="1"/>
    </xf>
    <xf numFmtId="0" fontId="24" fillId="27" borderId="12" xfId="0" applyFont="1" applyFill="1" applyBorder="1" applyAlignment="1">
      <alignment horizontal="justify" vertical="center" wrapText="1"/>
    </xf>
    <xf numFmtId="0" fontId="31" fillId="25" borderId="16" xfId="0" applyFont="1" applyFill="1" applyBorder="1" applyAlignment="1">
      <alignment horizontal="center" vertical="center"/>
    </xf>
    <xf numFmtId="0" fontId="24" fillId="38" borderId="13" xfId="0" applyFont="1" applyFill="1" applyBorder="1" applyAlignment="1">
      <alignment horizontal="center" vertical="center"/>
    </xf>
    <xf numFmtId="0" fontId="24" fillId="38" borderId="12" xfId="0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horizontal="left" vertical="center" wrapText="1"/>
    </xf>
    <xf numFmtId="10" fontId="24" fillId="27" borderId="10" xfId="0" applyNumberFormat="1" applyFont="1" applyFill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/>
    </xf>
    <xf numFmtId="3" fontId="19" fillId="39" borderId="10" xfId="0" applyNumberFormat="1" applyFont="1" applyFill="1" applyBorder="1" applyAlignment="1">
      <alignment horizontal="left" vertical="center" wrapText="1"/>
    </xf>
    <xf numFmtId="3" fontId="19" fillId="29" borderId="10" xfId="0" applyNumberFormat="1" applyFont="1" applyFill="1" applyBorder="1" applyAlignment="1">
      <alignment horizontal="left" vertical="center" wrapText="1"/>
    </xf>
    <xf numFmtId="4" fontId="24" fillId="27" borderId="10" xfId="0" applyNumberFormat="1" applyFont="1" applyFill="1" applyBorder="1" applyAlignment="1">
      <alignment horizontal="left" vertical="center" wrapText="1"/>
    </xf>
    <xf numFmtId="0" fontId="24" fillId="38" borderId="19" xfId="0" applyFont="1" applyFill="1" applyBorder="1" applyAlignment="1">
      <alignment horizontal="center" vertical="center" wrapText="1"/>
    </xf>
    <xf numFmtId="0" fontId="24" fillId="38" borderId="21" xfId="0" applyFont="1" applyFill="1" applyBorder="1" applyAlignment="1">
      <alignment horizontal="center" vertical="center" wrapText="1"/>
    </xf>
    <xf numFmtId="0" fontId="24" fillId="27" borderId="13" xfId="0" applyFont="1" applyFill="1" applyBorder="1" applyAlignment="1">
      <alignment horizontal="center" vertical="center" wrapText="1"/>
    </xf>
    <xf numFmtId="0" fontId="24" fillId="27" borderId="12" xfId="0" applyFont="1" applyFill="1" applyBorder="1" applyAlignment="1">
      <alignment horizontal="center" vertical="center" wrapText="1"/>
    </xf>
    <xf numFmtId="0" fontId="24" fillId="38" borderId="19" xfId="0" applyFont="1" applyFill="1" applyBorder="1" applyAlignment="1">
      <alignment horizontal="center" vertical="center"/>
    </xf>
    <xf numFmtId="0" fontId="24" fillId="38" borderId="25" xfId="0" applyFont="1" applyFill="1" applyBorder="1" applyAlignment="1">
      <alignment horizontal="center" vertical="center"/>
    </xf>
    <xf numFmtId="0" fontId="24" fillId="38" borderId="22" xfId="0" applyFont="1" applyFill="1" applyBorder="1" applyAlignment="1">
      <alignment horizontal="center" vertical="center"/>
    </xf>
    <xf numFmtId="0" fontId="24" fillId="38" borderId="17" xfId="0" applyFont="1" applyFill="1" applyBorder="1" applyAlignment="1">
      <alignment horizontal="center" vertical="center" wrapText="1"/>
    </xf>
    <xf numFmtId="0" fontId="24" fillId="38" borderId="18" xfId="0" applyFont="1" applyFill="1" applyBorder="1" applyAlignment="1">
      <alignment horizontal="center" vertical="center" wrapText="1"/>
    </xf>
    <xf numFmtId="0" fontId="24" fillId="38" borderId="15" xfId="0" applyFont="1" applyFill="1" applyBorder="1" applyAlignment="1">
      <alignment horizontal="center" vertical="center" wrapText="1"/>
    </xf>
    <xf numFmtId="0" fontId="24" fillId="27" borderId="13" xfId="0" applyFont="1" applyFill="1" applyBorder="1" applyAlignment="1">
      <alignment horizontal="center" vertical="center"/>
    </xf>
    <xf numFmtId="0" fontId="24" fillId="27" borderId="12" xfId="0" applyFont="1" applyFill="1" applyBorder="1" applyAlignment="1">
      <alignment horizontal="center" vertical="center"/>
    </xf>
    <xf numFmtId="0" fontId="24" fillId="38" borderId="24" xfId="0" applyFont="1" applyFill="1" applyBorder="1" applyAlignment="1">
      <alignment horizontal="center" vertical="center" wrapText="1"/>
    </xf>
    <xf numFmtId="0" fontId="24" fillId="38" borderId="20" xfId="0" applyFont="1" applyFill="1" applyBorder="1" applyAlignment="1">
      <alignment horizontal="center" vertical="center" wrapText="1"/>
    </xf>
    <xf numFmtId="0" fontId="24" fillId="38" borderId="23" xfId="0" applyFont="1" applyFill="1" applyBorder="1" applyAlignment="1">
      <alignment horizontal="center" vertical="center" wrapText="1"/>
    </xf>
    <xf numFmtId="0" fontId="24" fillId="38" borderId="27" xfId="0" applyFont="1" applyFill="1" applyBorder="1" applyAlignment="1">
      <alignment horizontal="center" vertical="center" wrapText="1"/>
    </xf>
    <xf numFmtId="0" fontId="24" fillId="38" borderId="29" xfId="0" applyFont="1" applyFill="1" applyBorder="1" applyAlignment="1">
      <alignment horizontal="center" vertical="center" wrapText="1"/>
    </xf>
    <xf numFmtId="0" fontId="24" fillId="38" borderId="26" xfId="0" applyFont="1" applyFill="1" applyBorder="1" applyAlignment="1">
      <alignment horizontal="center" vertical="center" wrapText="1"/>
    </xf>
    <xf numFmtId="0" fontId="24" fillId="38" borderId="22" xfId="0" applyFont="1" applyFill="1" applyBorder="1" applyAlignment="1">
      <alignment horizontal="center" vertical="center" wrapText="1"/>
    </xf>
    <xf numFmtId="0" fontId="24" fillId="38" borderId="16" xfId="0" applyFont="1" applyFill="1" applyBorder="1" applyAlignment="1">
      <alignment horizontal="center" vertical="center" wrapText="1"/>
    </xf>
    <xf numFmtId="0" fontId="24" fillId="38" borderId="30" xfId="0" applyFont="1" applyFill="1" applyBorder="1" applyAlignment="1">
      <alignment horizontal="center" vertical="center" wrapText="1"/>
    </xf>
    <xf numFmtId="0" fontId="35" fillId="25" borderId="16" xfId="0" applyFont="1" applyFill="1" applyBorder="1" applyAlignment="1">
      <alignment horizontal="center" vertical="center" wrapText="1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1" builtinId="28" customBuiltin="1"/>
    <cellStyle name="Normal" xfId="0" builtinId="0"/>
    <cellStyle name="Nota" xfId="32" builtinId="10" customBuiltin="1"/>
    <cellStyle name="Ruim" xfId="30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 1" xfId="36" builtinId="16" customBuiltin="1"/>
    <cellStyle name="Título 1 1" xfId="37" xr:uid="{00000000-0005-0000-0000-000025000000}"/>
    <cellStyle name="Título 1 1 1" xfId="38" xr:uid="{00000000-0005-0000-0000-000026000000}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</xdr:col>
      <xdr:colOff>9525</xdr:colOff>
      <xdr:row>23</xdr:row>
      <xdr:rowOff>200025</xdr:rowOff>
    </xdr:to>
    <xdr:sp macro="" textlink="">
      <xdr:nvSpPr>
        <xdr:cNvPr id="2" name="Text 1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43338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0"/>
  <sheetViews>
    <sheetView topLeftCell="A59" workbookViewId="0">
      <selection activeCell="N15" sqref="N15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9.7109375" style="9" customWidth="1"/>
    <col min="5" max="5" width="12" style="9" customWidth="1"/>
    <col min="6" max="6" width="17" style="9" customWidth="1"/>
    <col min="7" max="7" width="9.140625" style="6"/>
    <col min="8" max="8" width="20.7109375" style="6" customWidth="1"/>
    <col min="9" max="9" width="11.85546875" style="6" customWidth="1"/>
    <col min="10" max="10" width="11.5703125" style="6" customWidth="1"/>
    <col min="11" max="11" width="12.140625" style="6" customWidth="1"/>
    <col min="12" max="12" width="13" style="6" customWidth="1"/>
    <col min="13" max="13" width="9.5703125" style="6" customWidth="1"/>
    <col min="14" max="14" width="12.5703125" style="6" customWidth="1"/>
    <col min="15" max="16384" width="9.140625" style="6"/>
  </cols>
  <sheetData>
    <row r="1" spans="2:14" ht="20.25" x14ac:dyDescent="0.35">
      <c r="B1" s="268" t="s">
        <v>0</v>
      </c>
      <c r="C1" s="269"/>
      <c r="D1" s="269"/>
      <c r="E1" s="269"/>
      <c r="F1" s="270"/>
      <c r="H1" s="258" t="s">
        <v>1</v>
      </c>
      <c r="I1" s="258"/>
      <c r="J1" s="258"/>
      <c r="K1" s="258"/>
      <c r="L1" s="258"/>
      <c r="M1" s="258"/>
      <c r="N1" s="258"/>
    </row>
    <row r="2" spans="2:14" ht="20.25" x14ac:dyDescent="0.35">
      <c r="B2" s="268" t="s">
        <v>2</v>
      </c>
      <c r="C2" s="269"/>
      <c r="D2" s="270"/>
      <c r="E2" s="187" t="s">
        <v>3</v>
      </c>
      <c r="F2" s="186">
        <v>45687</v>
      </c>
      <c r="H2" s="258"/>
      <c r="I2" s="258"/>
      <c r="J2" s="258"/>
      <c r="K2" s="258"/>
      <c r="L2" s="258"/>
      <c r="M2" s="258"/>
      <c r="N2" s="258"/>
    </row>
    <row r="3" spans="2:14" x14ac:dyDescent="0.3">
      <c r="B3" s="125"/>
      <c r="C3" s="125"/>
      <c r="D3" s="125"/>
      <c r="E3" s="125"/>
      <c r="F3" s="125"/>
      <c r="H3" s="258"/>
      <c r="I3" s="258"/>
      <c r="J3" s="258"/>
      <c r="K3" s="258"/>
      <c r="L3" s="258"/>
      <c r="M3" s="258"/>
      <c r="N3" s="258"/>
    </row>
    <row r="4" spans="2:14" s="125" customFormat="1" ht="25.5" customHeight="1" x14ac:dyDescent="0.5">
      <c r="B4" s="271" t="s">
        <v>4</v>
      </c>
      <c r="C4" s="271"/>
      <c r="D4" s="271"/>
      <c r="E4" s="271"/>
      <c r="F4" s="271"/>
      <c r="H4" s="266" t="s">
        <v>5</v>
      </c>
      <c r="I4" s="267"/>
      <c r="J4" s="267"/>
      <c r="K4" s="267"/>
      <c r="L4" s="267"/>
      <c r="M4" s="114" t="s">
        <v>6</v>
      </c>
      <c r="N4" s="113"/>
    </row>
    <row r="5" spans="2:14" s="125" customFormat="1" ht="15.95" customHeight="1" x14ac:dyDescent="0.3">
      <c r="B5" s="246" t="s">
        <v>7</v>
      </c>
      <c r="C5" s="246"/>
      <c r="D5" s="246"/>
      <c r="E5" s="246"/>
      <c r="F5" s="246"/>
      <c r="H5" s="259" t="s">
        <v>8</v>
      </c>
      <c r="I5" s="259"/>
      <c r="J5" s="259"/>
      <c r="K5" s="259"/>
      <c r="L5" s="259"/>
      <c r="M5" s="259"/>
      <c r="N5" s="259"/>
    </row>
    <row r="6" spans="2:14" s="125" customFormat="1" ht="15.95" customHeight="1" x14ac:dyDescent="0.3">
      <c r="B6" s="243" t="s">
        <v>9</v>
      </c>
      <c r="C6" s="243"/>
      <c r="D6" s="272" t="s">
        <v>10</v>
      </c>
      <c r="E6" s="272"/>
      <c r="F6" s="272"/>
      <c r="H6" s="260" t="s">
        <v>11</v>
      </c>
      <c r="I6" s="263" t="s">
        <v>12</v>
      </c>
      <c r="J6" s="263" t="s">
        <v>13</v>
      </c>
      <c r="K6" s="263" t="s">
        <v>14</v>
      </c>
      <c r="L6" s="263" t="s">
        <v>15</v>
      </c>
      <c r="M6" s="263" t="s">
        <v>16</v>
      </c>
      <c r="N6" s="263" t="s">
        <v>17</v>
      </c>
    </row>
    <row r="7" spans="2:14" s="125" customFormat="1" x14ac:dyDescent="0.3">
      <c r="B7" s="275" t="s">
        <v>18</v>
      </c>
      <c r="C7" s="275"/>
      <c r="D7" s="276" t="s">
        <v>19</v>
      </c>
      <c r="E7" s="276"/>
      <c r="F7" s="14" t="s">
        <v>20</v>
      </c>
      <c r="H7" s="261"/>
      <c r="I7" s="264"/>
      <c r="J7" s="264"/>
      <c r="K7" s="264"/>
      <c r="L7" s="264"/>
      <c r="M7" s="265"/>
      <c r="N7" s="265"/>
    </row>
    <row r="8" spans="2:14" s="125" customFormat="1" ht="15.75" customHeight="1" x14ac:dyDescent="0.3">
      <c r="B8" s="243" t="s">
        <v>21</v>
      </c>
      <c r="C8" s="243"/>
      <c r="D8" s="244" t="s">
        <v>22</v>
      </c>
      <c r="E8" s="245"/>
      <c r="F8" s="14" t="s">
        <v>23</v>
      </c>
      <c r="H8" s="262"/>
      <c r="I8" s="123" t="s">
        <v>24</v>
      </c>
      <c r="J8" s="123" t="s">
        <v>25</v>
      </c>
      <c r="K8" s="123" t="s">
        <v>26</v>
      </c>
      <c r="L8" s="123" t="s">
        <v>27</v>
      </c>
      <c r="M8" s="264"/>
      <c r="N8" s="264"/>
    </row>
    <row r="9" spans="2:14" s="125" customFormat="1" x14ac:dyDescent="0.3">
      <c r="C9" s="4"/>
      <c r="D9" s="126"/>
      <c r="E9" s="126"/>
      <c r="F9" s="127"/>
      <c r="H9" s="78" t="s">
        <v>28</v>
      </c>
      <c r="I9" s="79">
        <v>9600</v>
      </c>
      <c r="J9" s="80"/>
      <c r="K9" s="80"/>
      <c r="L9" s="81">
        <f>SUM(I9:K9)</f>
        <v>9600</v>
      </c>
      <c r="M9" s="82">
        <v>800</v>
      </c>
      <c r="N9" s="1"/>
    </row>
    <row r="10" spans="2:14" s="125" customFormat="1" ht="15.75" customHeight="1" x14ac:dyDescent="0.3">
      <c r="B10" s="246" t="s">
        <v>29</v>
      </c>
      <c r="C10" s="246"/>
      <c r="D10" s="246"/>
      <c r="E10" s="246"/>
      <c r="F10" s="246"/>
      <c r="H10" s="78" t="s">
        <v>30</v>
      </c>
      <c r="I10" s="79">
        <v>3050</v>
      </c>
      <c r="J10" s="80"/>
      <c r="K10" s="80"/>
      <c r="L10" s="81">
        <f>SUM(I10:K10)</f>
        <v>3050</v>
      </c>
      <c r="M10" s="82">
        <v>1800</v>
      </c>
      <c r="N10" s="1"/>
    </row>
    <row r="11" spans="2:14" s="125" customFormat="1" ht="18" customHeight="1" x14ac:dyDescent="0.3">
      <c r="B11" s="15" t="s">
        <v>31</v>
      </c>
      <c r="C11" s="243" t="s">
        <v>32</v>
      </c>
      <c r="D11" s="243"/>
      <c r="E11" s="243"/>
      <c r="F11" s="16" t="s">
        <v>22</v>
      </c>
      <c r="H11" s="78" t="s">
        <v>33</v>
      </c>
      <c r="I11" s="79">
        <v>1500</v>
      </c>
      <c r="J11" s="80"/>
      <c r="K11" s="80"/>
      <c r="L11" s="81">
        <f>SUM(I11:K11)</f>
        <v>1500</v>
      </c>
      <c r="M11" s="82">
        <v>300</v>
      </c>
      <c r="N11" s="83">
        <v>16</v>
      </c>
    </row>
    <row r="12" spans="2:14" s="125" customFormat="1" ht="15.95" customHeight="1" x14ac:dyDescent="0.15">
      <c r="B12" s="1" t="s">
        <v>34</v>
      </c>
      <c r="C12" s="55" t="s">
        <v>35</v>
      </c>
      <c r="D12" s="277" t="s">
        <v>36</v>
      </c>
      <c r="E12" s="277"/>
      <c r="F12" s="277"/>
      <c r="H12" s="78" t="s">
        <v>37</v>
      </c>
      <c r="I12" s="79">
        <v>1500</v>
      </c>
      <c r="J12" s="80"/>
      <c r="K12" s="80"/>
      <c r="L12" s="81">
        <f>SUM(I12:K12)</f>
        <v>1500</v>
      </c>
      <c r="M12" s="82">
        <v>130</v>
      </c>
      <c r="N12" s="83">
        <v>8</v>
      </c>
    </row>
    <row r="13" spans="2:14" s="125" customFormat="1" ht="15.95" customHeight="1" x14ac:dyDescent="0.3">
      <c r="B13" s="15" t="s">
        <v>38</v>
      </c>
      <c r="C13" s="243" t="s">
        <v>39</v>
      </c>
      <c r="D13" s="243"/>
      <c r="E13" s="243"/>
      <c r="F13" s="58" t="s">
        <v>40</v>
      </c>
      <c r="H13" s="78" t="s">
        <v>41</v>
      </c>
      <c r="I13" s="79"/>
      <c r="J13" s="80"/>
      <c r="K13" s="80"/>
      <c r="L13" s="81">
        <f>SUM(I13:K13)</f>
        <v>0</v>
      </c>
      <c r="M13" s="82"/>
      <c r="N13" s="1"/>
    </row>
    <row r="14" spans="2:14" s="125" customFormat="1" x14ac:dyDescent="0.3">
      <c r="B14" s="1" t="s">
        <v>42</v>
      </c>
      <c r="C14" s="240" t="s">
        <v>43</v>
      </c>
      <c r="D14" s="241"/>
      <c r="E14" s="242"/>
      <c r="F14" s="14" t="s">
        <v>44</v>
      </c>
      <c r="H14" s="123" t="s">
        <v>15</v>
      </c>
      <c r="I14" s="84">
        <f>SUM(I9:I13)</f>
        <v>15650</v>
      </c>
      <c r="J14" s="84">
        <f>SUM(J9:J13)</f>
        <v>0</v>
      </c>
      <c r="K14" s="84">
        <f>SUM(K9:K13)</f>
        <v>0</v>
      </c>
      <c r="L14" s="84">
        <f>SUM(L9:L12)</f>
        <v>15650</v>
      </c>
      <c r="M14" s="247"/>
      <c r="N14" s="247"/>
    </row>
    <row r="15" spans="2:14" s="125" customFormat="1" ht="15.95" customHeight="1" x14ac:dyDescent="0.3">
      <c r="B15" s="1" t="s">
        <v>45</v>
      </c>
      <c r="C15" s="243" t="s">
        <v>46</v>
      </c>
      <c r="D15" s="243"/>
      <c r="E15" s="243"/>
      <c r="F15" s="53">
        <v>12</v>
      </c>
      <c r="H15" s="248" t="s">
        <v>47</v>
      </c>
      <c r="I15" s="249"/>
      <c r="J15" s="249"/>
      <c r="K15" s="249"/>
      <c r="L15" s="249"/>
      <c r="M15" s="250"/>
      <c r="N15" s="192">
        <v>13</v>
      </c>
    </row>
    <row r="16" spans="2:14" s="125" customFormat="1" ht="15.95" customHeight="1" x14ac:dyDescent="0.3">
      <c r="C16" s="4"/>
      <c r="D16" s="126"/>
      <c r="E16" s="126"/>
      <c r="F16" s="127"/>
      <c r="H16" s="85"/>
      <c r="I16" s="85"/>
      <c r="J16" s="85"/>
      <c r="K16" s="85"/>
      <c r="L16" s="85"/>
      <c r="M16" s="128"/>
      <c r="N16" s="128"/>
    </row>
    <row r="17" spans="2:14" s="125" customFormat="1" ht="16.5" customHeight="1" x14ac:dyDescent="0.3">
      <c r="B17" s="246" t="s">
        <v>48</v>
      </c>
      <c r="C17" s="246"/>
      <c r="D17" s="246"/>
      <c r="E17" s="246"/>
      <c r="F17" s="246"/>
      <c r="H17" s="251" t="s">
        <v>49</v>
      </c>
      <c r="I17" s="252"/>
      <c r="J17" s="252"/>
      <c r="K17" s="252"/>
      <c r="L17" s="252"/>
      <c r="M17" s="252"/>
      <c r="N17" s="253"/>
    </row>
    <row r="18" spans="2:14" s="129" customFormat="1" ht="32.25" customHeight="1" x14ac:dyDescent="0.2">
      <c r="B18" s="57" t="s">
        <v>50</v>
      </c>
      <c r="C18" s="1" t="s">
        <v>51</v>
      </c>
      <c r="D18" s="111" t="s">
        <v>52</v>
      </c>
      <c r="E18" s="54" t="s">
        <v>53</v>
      </c>
      <c r="F18" s="54" t="s">
        <v>54</v>
      </c>
      <c r="H18" s="254" t="s">
        <v>55</v>
      </c>
      <c r="I18" s="255"/>
      <c r="J18" s="255"/>
      <c r="K18" s="255"/>
      <c r="L18" s="255"/>
      <c r="M18" s="255"/>
      <c r="N18" s="256"/>
    </row>
    <row r="19" spans="2:14" s="125" customFormat="1" ht="16.5" customHeight="1" x14ac:dyDescent="0.3">
      <c r="B19" s="15" t="s">
        <v>56</v>
      </c>
      <c r="C19" s="188" t="s">
        <v>57</v>
      </c>
      <c r="D19" s="112" t="s">
        <v>58</v>
      </c>
      <c r="E19" s="70">
        <v>1</v>
      </c>
      <c r="F19" s="110">
        <v>3383.5</v>
      </c>
      <c r="H19" s="238" t="s">
        <v>59</v>
      </c>
      <c r="I19" s="238"/>
      <c r="J19" s="238"/>
      <c r="K19" s="238"/>
      <c r="L19" s="238"/>
      <c r="M19" s="238"/>
      <c r="N19" s="239"/>
    </row>
    <row r="20" spans="2:14" s="125" customFormat="1" ht="16.5" customHeight="1" x14ac:dyDescent="0.3">
      <c r="B20" s="1" t="s">
        <v>60</v>
      </c>
      <c r="C20" s="189" t="s">
        <v>61</v>
      </c>
      <c r="D20" s="112" t="s">
        <v>58</v>
      </c>
      <c r="E20" s="64">
        <v>12</v>
      </c>
      <c r="F20" s="110">
        <v>1743.69</v>
      </c>
      <c r="H20" s="238"/>
      <c r="I20" s="238"/>
      <c r="J20" s="238"/>
      <c r="K20" s="238"/>
      <c r="L20" s="238"/>
      <c r="M20" s="238"/>
      <c r="N20" s="239"/>
    </row>
    <row r="21" spans="2:14" s="125" customFormat="1" ht="16.5" customHeight="1" x14ac:dyDescent="0.3">
      <c r="B21" s="15" t="s">
        <v>62</v>
      </c>
      <c r="C21" s="188" t="s">
        <v>63</v>
      </c>
      <c r="D21" s="112" t="s">
        <v>58</v>
      </c>
      <c r="E21" s="70">
        <v>1</v>
      </c>
      <c r="F21" s="110">
        <v>2574.37</v>
      </c>
      <c r="H21" s="236" t="s">
        <v>64</v>
      </c>
      <c r="I21" s="236"/>
      <c r="J21" s="236"/>
      <c r="K21" s="236"/>
      <c r="L21" s="236"/>
      <c r="M21" s="236"/>
      <c r="N21" s="237"/>
    </row>
    <row r="22" spans="2:14" s="125" customFormat="1" ht="15.95" customHeight="1" x14ac:dyDescent="0.3">
      <c r="B22" s="130"/>
      <c r="C22" s="130"/>
      <c r="D22" s="130"/>
      <c r="E22" s="130"/>
      <c r="F22" s="130"/>
      <c r="H22" s="236"/>
      <c r="I22" s="236"/>
      <c r="J22" s="236"/>
      <c r="K22" s="236"/>
      <c r="L22" s="236"/>
      <c r="M22" s="236"/>
      <c r="N22" s="237"/>
    </row>
    <row r="23" spans="2:14" s="125" customFormat="1" ht="15" customHeight="1" x14ac:dyDescent="0.3">
      <c r="B23" s="246" t="s">
        <v>65</v>
      </c>
      <c r="C23" s="246"/>
      <c r="D23" s="246"/>
      <c r="E23" s="246"/>
      <c r="F23" s="246"/>
      <c r="H23" s="238" t="s">
        <v>66</v>
      </c>
      <c r="I23" s="238"/>
      <c r="J23" s="238"/>
      <c r="K23" s="238"/>
      <c r="L23" s="238"/>
      <c r="M23" s="238"/>
      <c r="N23" s="239"/>
    </row>
    <row r="24" spans="2:14" s="125" customFormat="1" ht="15" customHeight="1" x14ac:dyDescent="0.3">
      <c r="B24" s="15">
        <v>1</v>
      </c>
      <c r="C24" s="217" t="s">
        <v>67</v>
      </c>
      <c r="D24" s="217"/>
      <c r="E24" s="257" t="s">
        <v>68</v>
      </c>
      <c r="F24" s="257"/>
      <c r="H24" s="238"/>
      <c r="I24" s="238"/>
      <c r="J24" s="238"/>
      <c r="K24" s="238"/>
      <c r="L24" s="238"/>
      <c r="M24" s="238"/>
      <c r="N24" s="239"/>
    </row>
    <row r="25" spans="2:14" s="125" customFormat="1" ht="15" customHeight="1" x14ac:dyDescent="0.3">
      <c r="B25" s="15">
        <v>2</v>
      </c>
      <c r="C25" s="17" t="s">
        <v>69</v>
      </c>
      <c r="D25" s="286" t="s">
        <v>70</v>
      </c>
      <c r="E25" s="287"/>
      <c r="F25" s="288"/>
    </row>
    <row r="26" spans="2:14" s="125" customFormat="1" ht="15.95" customHeight="1" x14ac:dyDescent="0.3">
      <c r="B26" s="15">
        <v>3</v>
      </c>
      <c r="C26" s="279" t="s">
        <v>71</v>
      </c>
      <c r="D26" s="280"/>
      <c r="E26" s="281"/>
      <c r="F26" s="16">
        <v>45658</v>
      </c>
    </row>
    <row r="27" spans="2:14" s="125" customFormat="1" ht="15.95" customHeight="1" x14ac:dyDescent="0.3">
      <c r="B27" s="15">
        <v>4</v>
      </c>
      <c r="C27" s="278" t="s">
        <v>72</v>
      </c>
      <c r="D27" s="278"/>
      <c r="E27" s="278"/>
      <c r="F27" s="56">
        <v>1518</v>
      </c>
    </row>
    <row r="28" spans="2:14" s="125" customFormat="1" x14ac:dyDescent="0.3">
      <c r="B28" s="18"/>
      <c r="C28" s="19"/>
      <c r="D28" s="19"/>
      <c r="E28" s="19"/>
      <c r="F28" s="131"/>
      <c r="H28" s="6"/>
      <c r="I28" s="6"/>
      <c r="J28" s="6"/>
      <c r="K28" s="6"/>
      <c r="L28" s="6"/>
      <c r="M28" s="6"/>
      <c r="N28" s="6"/>
    </row>
    <row r="29" spans="2:14" s="125" customFormat="1" ht="25.5" x14ac:dyDescent="0.5">
      <c r="B29" s="132" t="s">
        <v>73</v>
      </c>
      <c r="C29" s="6"/>
      <c r="D29" s="6"/>
      <c r="E29" s="6"/>
      <c r="F29" s="6"/>
      <c r="H29" s="6"/>
      <c r="I29" s="6"/>
      <c r="J29" s="6"/>
      <c r="K29" s="6"/>
      <c r="L29" s="6"/>
      <c r="M29" s="6"/>
      <c r="N29" s="6"/>
    </row>
    <row r="30" spans="2:14" x14ac:dyDescent="0.3">
      <c r="B30" s="41" t="s">
        <v>74</v>
      </c>
      <c r="E30" s="7"/>
      <c r="F30" s="7"/>
    </row>
    <row r="31" spans="2:14" x14ac:dyDescent="0.3">
      <c r="B31" s="1">
        <v>1</v>
      </c>
      <c r="C31" s="285" t="s">
        <v>75</v>
      </c>
      <c r="D31" s="285"/>
      <c r="E31" s="285"/>
      <c r="F31" s="116" t="s">
        <v>76</v>
      </c>
    </row>
    <row r="32" spans="2:14" x14ac:dyDescent="0.3">
      <c r="B32" s="1" t="s">
        <v>31</v>
      </c>
      <c r="C32" s="282" t="s">
        <v>77</v>
      </c>
      <c r="D32" s="283"/>
      <c r="E32" s="284"/>
      <c r="F32" s="66"/>
    </row>
    <row r="33" spans="1:14" x14ac:dyDescent="0.3">
      <c r="B33" s="1" t="s">
        <v>34</v>
      </c>
      <c r="C33" s="220" t="s">
        <v>78</v>
      </c>
      <c r="D33" s="289"/>
      <c r="E33" s="274"/>
      <c r="F33" s="65"/>
    </row>
    <row r="34" spans="1:14" x14ac:dyDescent="0.3">
      <c r="B34" s="1" t="s">
        <v>38</v>
      </c>
      <c r="C34" s="220" t="s">
        <v>79</v>
      </c>
      <c r="D34" s="220"/>
      <c r="E34" s="220"/>
      <c r="F34" s="65"/>
      <c r="H34" s="133"/>
      <c r="I34" s="133"/>
      <c r="J34" s="133"/>
      <c r="K34" s="133"/>
      <c r="L34" s="133"/>
      <c r="M34" s="133"/>
      <c r="N34" s="133"/>
    </row>
    <row r="35" spans="1:14" x14ac:dyDescent="0.3">
      <c r="B35" s="1" t="s">
        <v>42</v>
      </c>
      <c r="C35" s="220" t="s">
        <v>80</v>
      </c>
      <c r="D35" s="220"/>
      <c r="E35" s="220"/>
      <c r="F35" s="65"/>
      <c r="H35" s="133"/>
      <c r="I35" s="133"/>
      <c r="J35" s="133"/>
      <c r="K35" s="133"/>
      <c r="L35" s="133"/>
      <c r="M35" s="133"/>
      <c r="N35" s="133"/>
    </row>
    <row r="36" spans="1:14" s="133" customFormat="1" x14ac:dyDescent="0.3">
      <c r="H36" s="125"/>
      <c r="I36" s="125"/>
      <c r="J36" s="125"/>
      <c r="K36" s="125"/>
      <c r="L36" s="125"/>
      <c r="M36" s="125"/>
      <c r="N36" s="125"/>
    </row>
    <row r="37" spans="1:14" s="133" customFormat="1" x14ac:dyDescent="0.3">
      <c r="A37" s="6"/>
      <c r="B37" s="41" t="s">
        <v>81</v>
      </c>
      <c r="C37" s="9"/>
      <c r="D37" s="9"/>
      <c r="E37" s="11"/>
      <c r="F37" s="11"/>
      <c r="H37" s="125"/>
      <c r="I37" s="125"/>
      <c r="J37" s="125"/>
      <c r="K37" s="125"/>
      <c r="L37" s="125"/>
      <c r="M37" s="125"/>
      <c r="N37" s="125"/>
    </row>
    <row r="38" spans="1:14" s="133" customFormat="1" x14ac:dyDescent="0.3"/>
    <row r="39" spans="1:14" s="133" customFormat="1" x14ac:dyDescent="0.3">
      <c r="A39" s="6"/>
      <c r="B39" s="41" t="s">
        <v>82</v>
      </c>
      <c r="C39" s="125"/>
      <c r="D39" s="125"/>
      <c r="E39" s="125"/>
      <c r="F39" s="125"/>
    </row>
    <row r="40" spans="1:14" s="133" customFormat="1" ht="15" customHeight="1" x14ac:dyDescent="0.3">
      <c r="A40" s="6"/>
      <c r="B40" s="1" t="s">
        <v>83</v>
      </c>
      <c r="C40" s="218" t="s">
        <v>84</v>
      </c>
      <c r="D40" s="219"/>
      <c r="E40" s="116" t="s">
        <v>85</v>
      </c>
      <c r="F40" s="116" t="s">
        <v>86</v>
      </c>
    </row>
    <row r="41" spans="1:14" s="133" customFormat="1" x14ac:dyDescent="0.3">
      <c r="A41" s="6"/>
      <c r="B41" s="68" t="s">
        <v>31</v>
      </c>
      <c r="C41" s="217" t="s">
        <v>87</v>
      </c>
      <c r="D41" s="217"/>
      <c r="E41" s="53" t="s">
        <v>88</v>
      </c>
      <c r="F41" s="23">
        <v>11</v>
      </c>
    </row>
    <row r="42" spans="1:14" s="133" customFormat="1" x14ac:dyDescent="0.3">
      <c r="B42" s="68" t="s">
        <v>34</v>
      </c>
      <c r="C42" s="278" t="s">
        <v>89</v>
      </c>
      <c r="D42" s="278"/>
      <c r="E42" s="20" t="s">
        <v>88</v>
      </c>
      <c r="F42" s="23">
        <v>44.3</v>
      </c>
    </row>
    <row r="43" spans="1:14" s="133" customFormat="1" x14ac:dyDescent="0.3">
      <c r="B43" s="68" t="s">
        <v>42</v>
      </c>
      <c r="C43" s="217" t="s">
        <v>90</v>
      </c>
      <c r="D43" s="217"/>
      <c r="E43" s="53" t="s">
        <v>91</v>
      </c>
      <c r="F43" s="69">
        <v>22</v>
      </c>
      <c r="H43" s="6"/>
      <c r="I43" s="6"/>
      <c r="J43" s="6"/>
      <c r="K43" s="6"/>
      <c r="L43" s="6"/>
      <c r="M43" s="6"/>
      <c r="N43" s="6"/>
    </row>
    <row r="44" spans="1:14" x14ac:dyDescent="0.3">
      <c r="B44" s="68" t="s">
        <v>38</v>
      </c>
      <c r="C44" s="217" t="s">
        <v>92</v>
      </c>
      <c r="D44" s="217"/>
      <c r="E44" s="53" t="s">
        <v>91</v>
      </c>
      <c r="F44" s="65">
        <v>3.61</v>
      </c>
    </row>
    <row r="45" spans="1:14" x14ac:dyDescent="0.3">
      <c r="B45" s="68" t="s">
        <v>45</v>
      </c>
      <c r="C45" s="273" t="s">
        <v>93</v>
      </c>
      <c r="D45" s="274"/>
      <c r="E45" s="109"/>
      <c r="F45" s="65"/>
      <c r="H45" s="133"/>
      <c r="I45" s="133"/>
      <c r="J45" s="133"/>
      <c r="K45" s="133"/>
      <c r="L45" s="133"/>
      <c r="M45" s="133"/>
      <c r="N45" s="133"/>
    </row>
    <row r="46" spans="1:14" x14ac:dyDescent="0.3">
      <c r="B46" s="68" t="s">
        <v>94</v>
      </c>
      <c r="C46" s="273" t="s">
        <v>95</v>
      </c>
      <c r="D46" s="274"/>
      <c r="E46" s="109"/>
      <c r="F46" s="65"/>
      <c r="H46" s="125"/>
      <c r="I46" s="125"/>
      <c r="J46" s="125"/>
      <c r="K46" s="125"/>
      <c r="L46" s="125"/>
      <c r="M46" s="125"/>
      <c r="N46" s="125"/>
    </row>
    <row r="47" spans="1:14" s="133" customFormat="1" x14ac:dyDescent="0.3">
      <c r="H47" s="125"/>
      <c r="I47" s="125"/>
      <c r="J47" s="125"/>
      <c r="K47" s="125"/>
      <c r="L47" s="125"/>
      <c r="M47" s="125"/>
      <c r="N47" s="125"/>
    </row>
    <row r="48" spans="1:14" s="125" customFormat="1" x14ac:dyDescent="0.3">
      <c r="B48" s="41" t="s">
        <v>96</v>
      </c>
      <c r="C48" s="5"/>
      <c r="D48" s="12"/>
      <c r="E48" s="6"/>
      <c r="F48" s="6"/>
    </row>
    <row r="49" spans="1:14" s="125" customFormat="1" ht="15" customHeight="1" x14ac:dyDescent="0.3">
      <c r="B49" s="41" t="s">
        <v>97</v>
      </c>
      <c r="C49" s="5"/>
      <c r="D49" s="12"/>
      <c r="E49" s="10"/>
      <c r="F49" s="10"/>
    </row>
    <row r="50" spans="1:14" s="125" customFormat="1" x14ac:dyDescent="0.3">
      <c r="B50" s="1" t="s">
        <v>98</v>
      </c>
      <c r="C50" s="226" t="s">
        <v>99</v>
      </c>
      <c r="D50" s="227"/>
      <c r="E50" s="228"/>
      <c r="F50" s="116" t="s">
        <v>100</v>
      </c>
      <c r="H50" s="6"/>
      <c r="I50" s="6"/>
      <c r="J50" s="6"/>
      <c r="K50" s="6"/>
      <c r="L50" s="6"/>
      <c r="M50" s="6"/>
      <c r="N50" s="6"/>
    </row>
    <row r="51" spans="1:14" x14ac:dyDescent="0.3">
      <c r="A51" s="125"/>
      <c r="B51" s="2" t="s">
        <v>31</v>
      </c>
      <c r="C51" s="229" t="s">
        <v>101</v>
      </c>
      <c r="D51" s="230"/>
      <c r="E51" s="231"/>
      <c r="F51" s="109"/>
    </row>
    <row r="52" spans="1:14" s="133" customFormat="1" x14ac:dyDescent="0.3">
      <c r="H52" s="6"/>
      <c r="I52" s="6"/>
      <c r="J52" s="6"/>
      <c r="K52" s="6"/>
      <c r="L52" s="6"/>
      <c r="M52" s="6"/>
      <c r="N52" s="6"/>
    </row>
    <row r="53" spans="1:14" x14ac:dyDescent="0.3">
      <c r="B53" s="41" t="s">
        <v>102</v>
      </c>
      <c r="C53" s="5"/>
      <c r="D53" s="12"/>
      <c r="E53" s="10"/>
      <c r="F53" s="10"/>
    </row>
    <row r="54" spans="1:14" x14ac:dyDescent="0.3">
      <c r="B54" s="1" t="s">
        <v>103</v>
      </c>
      <c r="C54" s="212" t="s">
        <v>104</v>
      </c>
      <c r="D54" s="212"/>
      <c r="E54" s="212"/>
      <c r="F54" s="116" t="s">
        <v>105</v>
      </c>
    </row>
    <row r="55" spans="1:14" x14ac:dyDescent="0.3">
      <c r="B55" s="1" t="s">
        <v>31</v>
      </c>
      <c r="C55" s="213" t="s">
        <v>106</v>
      </c>
      <c r="D55" s="213"/>
      <c r="E55" s="213"/>
      <c r="F55" s="66"/>
    </row>
    <row r="56" spans="1:14" ht="15" customHeight="1" x14ac:dyDescent="0.3">
      <c r="B56" s="1" t="s">
        <v>34</v>
      </c>
      <c r="C56" s="214" t="s">
        <v>107</v>
      </c>
      <c r="D56" s="215"/>
      <c r="E56" s="216"/>
      <c r="F56" s="66"/>
    </row>
    <row r="57" spans="1:14" s="133" customFormat="1" x14ac:dyDescent="0.3"/>
    <row r="58" spans="1:14" x14ac:dyDescent="0.3">
      <c r="B58" s="41" t="s">
        <v>108</v>
      </c>
      <c r="C58" s="5"/>
      <c r="D58" s="5"/>
      <c r="E58" s="10"/>
      <c r="F58" s="10"/>
    </row>
    <row r="59" spans="1:14" ht="15.75" customHeight="1" x14ac:dyDescent="0.3">
      <c r="B59" s="39">
        <v>5</v>
      </c>
      <c r="C59" s="235" t="s">
        <v>109</v>
      </c>
      <c r="D59" s="235"/>
      <c r="E59" s="235"/>
      <c r="F59" s="40" t="s">
        <v>110</v>
      </c>
    </row>
    <row r="60" spans="1:14" x14ac:dyDescent="0.3">
      <c r="B60" s="35" t="s">
        <v>111</v>
      </c>
      <c r="C60" s="209" t="s">
        <v>112</v>
      </c>
      <c r="D60" s="209"/>
      <c r="E60" s="209"/>
      <c r="F60" s="67">
        <v>180.12</v>
      </c>
      <c r="H60" s="134"/>
      <c r="I60" s="134"/>
      <c r="J60" s="134"/>
      <c r="K60" s="134"/>
      <c r="L60" s="134"/>
      <c r="M60" s="134"/>
      <c r="N60" s="134"/>
    </row>
    <row r="61" spans="1:14" x14ac:dyDescent="0.3">
      <c r="B61" s="35" t="s">
        <v>113</v>
      </c>
      <c r="C61" s="209" t="s">
        <v>114</v>
      </c>
      <c r="D61" s="209"/>
      <c r="E61" s="209"/>
      <c r="F61" s="67">
        <v>63.8</v>
      </c>
      <c r="H61" s="134"/>
      <c r="I61" s="134"/>
      <c r="J61" s="134"/>
      <c r="K61" s="134"/>
      <c r="L61" s="134"/>
      <c r="M61" s="134"/>
      <c r="N61" s="134"/>
    </row>
    <row r="62" spans="1:14" x14ac:dyDescent="0.3">
      <c r="B62" s="35" t="s">
        <v>115</v>
      </c>
      <c r="C62" s="209" t="s">
        <v>116</v>
      </c>
      <c r="D62" s="209"/>
      <c r="E62" s="209"/>
      <c r="F62" s="67">
        <v>30.27</v>
      </c>
      <c r="H62" s="134"/>
      <c r="I62" s="134"/>
      <c r="J62" s="134"/>
      <c r="K62" s="134"/>
      <c r="L62" s="134"/>
      <c r="M62" s="134"/>
      <c r="N62" s="134"/>
    </row>
    <row r="63" spans="1:14" x14ac:dyDescent="0.3">
      <c r="B63" s="35" t="s">
        <v>117</v>
      </c>
      <c r="C63" s="211" t="s">
        <v>118</v>
      </c>
      <c r="D63" s="211"/>
      <c r="E63" s="211"/>
      <c r="F63" s="67">
        <v>0</v>
      </c>
      <c r="H63" s="134"/>
      <c r="I63" s="134"/>
      <c r="J63" s="134"/>
      <c r="K63" s="134"/>
      <c r="L63" s="134"/>
      <c r="M63" s="134"/>
      <c r="N63" s="134"/>
    </row>
    <row r="64" spans="1:14" x14ac:dyDescent="0.3">
      <c r="B64" s="35" t="s">
        <v>119</v>
      </c>
      <c r="C64" s="211" t="s">
        <v>120</v>
      </c>
      <c r="D64" s="211"/>
      <c r="E64" s="211"/>
      <c r="F64" s="67">
        <v>767.11</v>
      </c>
      <c r="H64" s="134"/>
      <c r="I64" s="134"/>
      <c r="J64" s="134"/>
      <c r="K64" s="134"/>
      <c r="L64" s="134"/>
      <c r="M64" s="134"/>
      <c r="N64" s="134"/>
    </row>
    <row r="65" spans="1:14" x14ac:dyDescent="0.3">
      <c r="B65" s="35" t="s">
        <v>121</v>
      </c>
      <c r="C65" s="211" t="s">
        <v>122</v>
      </c>
      <c r="D65" s="211"/>
      <c r="E65" s="211"/>
      <c r="F65" s="67">
        <v>1821.98</v>
      </c>
      <c r="H65" s="134"/>
      <c r="I65" s="134"/>
      <c r="J65" s="134"/>
      <c r="K65" s="134"/>
      <c r="L65" s="134"/>
      <c r="M65" s="134"/>
      <c r="N65" s="134"/>
    </row>
    <row r="66" spans="1:14" s="134" customFormat="1" x14ac:dyDescent="0.3">
      <c r="A66" s="6"/>
      <c r="B66" s="35" t="s">
        <v>123</v>
      </c>
      <c r="C66" s="209" t="s">
        <v>124</v>
      </c>
      <c r="D66" s="209"/>
      <c r="E66" s="209"/>
      <c r="F66" s="207">
        <v>46.41</v>
      </c>
      <c r="H66" s="133"/>
      <c r="I66" s="133"/>
      <c r="J66" s="133"/>
      <c r="K66" s="133"/>
      <c r="L66" s="133"/>
      <c r="M66" s="133"/>
      <c r="N66" s="133"/>
    </row>
    <row r="67" spans="1:14" s="134" customFormat="1" x14ac:dyDescent="0.3">
      <c r="A67" s="6"/>
      <c r="B67" s="35" t="s">
        <v>125</v>
      </c>
      <c r="C67" s="209" t="s">
        <v>126</v>
      </c>
      <c r="D67" s="209"/>
      <c r="E67" s="210"/>
      <c r="F67" s="207">
        <v>79.19</v>
      </c>
      <c r="H67" s="133"/>
      <c r="I67" s="133"/>
      <c r="J67" s="133"/>
      <c r="K67" s="133"/>
      <c r="L67" s="133"/>
      <c r="M67" s="133"/>
      <c r="N67" s="133"/>
    </row>
    <row r="68" spans="1:14" s="134" customFormat="1" x14ac:dyDescent="0.3">
      <c r="A68" s="6"/>
      <c r="B68" s="35" t="s">
        <v>127</v>
      </c>
      <c r="C68" s="209" t="s">
        <v>128</v>
      </c>
      <c r="D68" s="209"/>
      <c r="E68" s="209"/>
      <c r="F68" s="207">
        <v>201.69</v>
      </c>
      <c r="H68" s="133"/>
      <c r="I68" s="133"/>
      <c r="J68" s="133"/>
      <c r="K68" s="133"/>
      <c r="L68" s="133"/>
      <c r="M68" s="133"/>
      <c r="N68" s="133"/>
    </row>
    <row r="69" spans="1:14" s="134" customFormat="1" x14ac:dyDescent="0.3">
      <c r="A69" s="6"/>
      <c r="B69" s="35" t="s">
        <v>42</v>
      </c>
      <c r="C69" s="220" t="s">
        <v>129</v>
      </c>
      <c r="D69" s="220"/>
      <c r="E69" s="220"/>
      <c r="F69" s="65"/>
      <c r="H69" s="135"/>
      <c r="I69" s="135"/>
      <c r="J69" s="135"/>
      <c r="K69" s="135"/>
      <c r="L69" s="135"/>
      <c r="M69" s="135"/>
      <c r="N69" s="135"/>
    </row>
    <row r="70" spans="1:14" s="133" customFormat="1" x14ac:dyDescent="0.3">
      <c r="H70" s="136"/>
      <c r="I70" s="136"/>
      <c r="J70" s="136"/>
      <c r="K70" s="136"/>
      <c r="L70" s="136"/>
      <c r="M70" s="136"/>
      <c r="N70" s="136"/>
    </row>
    <row r="71" spans="1:14" s="135" customFormat="1" ht="16.5" customHeight="1" x14ac:dyDescent="0.3">
      <c r="A71" s="6"/>
      <c r="B71" s="225" t="s">
        <v>130</v>
      </c>
      <c r="C71" s="225"/>
      <c r="D71" s="225"/>
      <c r="E71" s="225"/>
      <c r="F71" s="225"/>
      <c r="H71" s="136"/>
      <c r="I71" s="136"/>
      <c r="J71" s="136"/>
      <c r="K71" s="136"/>
      <c r="L71" s="136"/>
      <c r="M71" s="136"/>
      <c r="N71" s="136"/>
    </row>
    <row r="72" spans="1:14" s="136" customFormat="1" ht="16.5" customHeight="1" x14ac:dyDescent="0.3">
      <c r="A72" s="6"/>
      <c r="B72" s="1">
        <v>6</v>
      </c>
      <c r="C72" s="232" t="s">
        <v>131</v>
      </c>
      <c r="D72" s="233"/>
      <c r="E72" s="234"/>
      <c r="F72" s="116" t="s">
        <v>100</v>
      </c>
    </row>
    <row r="73" spans="1:14" s="136" customFormat="1" x14ac:dyDescent="0.3">
      <c r="A73" s="134"/>
      <c r="B73" s="1" t="s">
        <v>31</v>
      </c>
      <c r="C73" s="222" t="s">
        <v>132</v>
      </c>
      <c r="D73" s="223"/>
      <c r="E73" s="224"/>
      <c r="F73" s="197">
        <v>4.7300000000000004</v>
      </c>
    </row>
    <row r="74" spans="1:14" s="136" customFormat="1" x14ac:dyDescent="0.3">
      <c r="A74" s="134"/>
      <c r="B74" s="2" t="s">
        <v>34</v>
      </c>
      <c r="C74" s="214" t="s">
        <v>133</v>
      </c>
      <c r="D74" s="215"/>
      <c r="E74" s="216"/>
      <c r="F74" s="197">
        <v>5.57</v>
      </c>
      <c r="H74" s="6"/>
      <c r="I74" s="6"/>
      <c r="J74" s="6"/>
      <c r="K74" s="6"/>
      <c r="L74" s="6"/>
      <c r="M74" s="6"/>
      <c r="N74" s="6"/>
    </row>
    <row r="75" spans="1:14" s="136" customFormat="1" x14ac:dyDescent="0.3">
      <c r="A75" s="135"/>
      <c r="B75" s="21" t="s">
        <v>134</v>
      </c>
      <c r="C75" s="222" t="s">
        <v>135</v>
      </c>
      <c r="D75" s="223"/>
      <c r="E75" s="224">
        <f>PERC_PIS</f>
        <v>0.65</v>
      </c>
      <c r="F75" s="197">
        <v>0.65</v>
      </c>
      <c r="H75" s="6"/>
      <c r="I75" s="6"/>
      <c r="J75" s="6"/>
      <c r="K75" s="6"/>
      <c r="L75" s="6"/>
      <c r="M75" s="6"/>
      <c r="N75" s="6"/>
    </row>
    <row r="76" spans="1:14" x14ac:dyDescent="0.3">
      <c r="B76" s="21" t="s">
        <v>136</v>
      </c>
      <c r="C76" s="214" t="s">
        <v>137</v>
      </c>
      <c r="D76" s="215"/>
      <c r="E76" s="216">
        <f>PERC_COFINS</f>
        <v>3</v>
      </c>
      <c r="F76" s="197">
        <v>3</v>
      </c>
      <c r="H76" s="133"/>
      <c r="I76" s="133"/>
      <c r="J76" s="133"/>
      <c r="K76" s="133"/>
      <c r="L76" s="133"/>
      <c r="M76" s="133"/>
      <c r="N76" s="133"/>
    </row>
    <row r="77" spans="1:14" x14ac:dyDescent="0.3">
      <c r="B77" s="21" t="s">
        <v>138</v>
      </c>
      <c r="C77" s="222" t="s">
        <v>139</v>
      </c>
      <c r="D77" s="223"/>
      <c r="E77" s="224">
        <f>PERC_ISS</f>
        <v>5</v>
      </c>
      <c r="F77" s="197">
        <v>5</v>
      </c>
    </row>
    <row r="78" spans="1:14" s="133" customFormat="1" x14ac:dyDescent="0.3">
      <c r="H78" s="6"/>
      <c r="I78" s="6"/>
      <c r="J78" s="6"/>
      <c r="K78" s="6"/>
      <c r="L78" s="6"/>
      <c r="M78" s="6"/>
      <c r="N78" s="6"/>
    </row>
    <row r="79" spans="1:14" ht="20.25" x14ac:dyDescent="0.3">
      <c r="B79" s="24" t="s">
        <v>140</v>
      </c>
      <c r="C79" s="25"/>
      <c r="D79" s="25"/>
      <c r="E79" s="25"/>
      <c r="F79" s="26"/>
    </row>
    <row r="80" spans="1:14" ht="33.75" customHeight="1" x14ac:dyDescent="0.3">
      <c r="B80" s="221" t="s">
        <v>141</v>
      </c>
      <c r="C80" s="221"/>
      <c r="D80" s="221"/>
      <c r="E80" s="221"/>
      <c r="F80" s="221"/>
    </row>
  </sheetData>
  <mergeCells count="76">
    <mergeCell ref="C45:D45"/>
    <mergeCell ref="C46:D46"/>
    <mergeCell ref="B7:C7"/>
    <mergeCell ref="D7:E7"/>
    <mergeCell ref="D12:F12"/>
    <mergeCell ref="B8:C8"/>
    <mergeCell ref="C27:E27"/>
    <mergeCell ref="C26:E26"/>
    <mergeCell ref="C32:E32"/>
    <mergeCell ref="C31:E31"/>
    <mergeCell ref="C24:D24"/>
    <mergeCell ref="D25:F25"/>
    <mergeCell ref="C33:E33"/>
    <mergeCell ref="C42:D42"/>
    <mergeCell ref="C43:D43"/>
    <mergeCell ref="C44:D44"/>
    <mergeCell ref="B1:F1"/>
    <mergeCell ref="B2:D2"/>
    <mergeCell ref="B4:F4"/>
    <mergeCell ref="B5:F5"/>
    <mergeCell ref="B6:C6"/>
    <mergeCell ref="D6:F6"/>
    <mergeCell ref="H1:N3"/>
    <mergeCell ref="H5:N5"/>
    <mergeCell ref="H6:H8"/>
    <mergeCell ref="I6:I7"/>
    <mergeCell ref="J6:J7"/>
    <mergeCell ref="K6:K7"/>
    <mergeCell ref="L6:L7"/>
    <mergeCell ref="M6:M8"/>
    <mergeCell ref="N6:N8"/>
    <mergeCell ref="H4:L4"/>
    <mergeCell ref="H21:N22"/>
    <mergeCell ref="H23:N24"/>
    <mergeCell ref="C14:E14"/>
    <mergeCell ref="C15:E15"/>
    <mergeCell ref="D8:E8"/>
    <mergeCell ref="B17:F17"/>
    <mergeCell ref="C13:E13"/>
    <mergeCell ref="M14:N14"/>
    <mergeCell ref="H15:M15"/>
    <mergeCell ref="H17:N17"/>
    <mergeCell ref="H18:N18"/>
    <mergeCell ref="H19:N20"/>
    <mergeCell ref="E24:F24"/>
    <mergeCell ref="B23:F23"/>
    <mergeCell ref="B10:F10"/>
    <mergeCell ref="C11:E11"/>
    <mergeCell ref="C41:D41"/>
    <mergeCell ref="C40:D40"/>
    <mergeCell ref="C35:E35"/>
    <mergeCell ref="C34:E34"/>
    <mergeCell ref="B80:F80"/>
    <mergeCell ref="C75:E75"/>
    <mergeCell ref="C77:E77"/>
    <mergeCell ref="C74:E74"/>
    <mergeCell ref="C76:E76"/>
    <mergeCell ref="C73:E73"/>
    <mergeCell ref="C69:E69"/>
    <mergeCell ref="B71:F71"/>
    <mergeCell ref="C50:E50"/>
    <mergeCell ref="C51:E51"/>
    <mergeCell ref="C72:E72"/>
    <mergeCell ref="C59:E59"/>
    <mergeCell ref="C54:E54"/>
    <mergeCell ref="C55:E55"/>
    <mergeCell ref="C56:E56"/>
    <mergeCell ref="C61:E61"/>
    <mergeCell ref="C62:E62"/>
    <mergeCell ref="C67:E67"/>
    <mergeCell ref="C68:E68"/>
    <mergeCell ref="C60:E60"/>
    <mergeCell ref="C63:E63"/>
    <mergeCell ref="C66:E66"/>
    <mergeCell ref="C64:E64"/>
    <mergeCell ref="C65:E65"/>
  </mergeCells>
  <phoneticPr fontId="52" type="noConversion"/>
  <dataValidations count="19">
    <dataValidation type="whole" allowBlank="1" showInputMessage="1" showErrorMessage="1" errorTitle="Erro na inserção de dados." error="O percentual de ISS deve estar entre 2 e 5%, conforme o inciso I do artigo 8º e o caput do art. 8º-A da Lei Complementar nº 116/2003." sqref="F77" xr:uid="{00000000-0002-0000-0000-000000000000}">
      <formula1>2</formula1>
      <formula2>5</formula2>
    </dataValidation>
    <dataValidation type="whole" errorStyle="warning" operator="equal" allowBlank="1" showInputMessage="1" showErrorMessage="1" errorTitle="Atentar para o percentual." error="Tem certeza que o percentual do Cofins é diferente de 3%, previsto no art. 31 da Lei nº 10.833/2003?" sqref="F76" xr:uid="{00000000-0002-0000-0000-000001000000}">
      <formula1>3</formula1>
    </dataValidation>
    <dataValidation type="decimal" errorStyle="warning" operator="equal" allowBlank="1" showInputMessage="1" showErrorMessage="1" errorTitle="Atentar para o percentual." error="Tem certeza que o percentual do PIS é diferente de 0,65%, previsto no art. 31 da Lei nº 10.833/2003?" sqref="F75" xr:uid="{00000000-0002-0000-0000-000002000000}">
      <formula1>0.65</formula1>
    </dataValidation>
    <dataValidation type="decimal" errorStyle="warning" allowBlank="1" showInputMessage="1" showErrorMessage="1" errorTitle="Erro na inserção de dados." error="O percentual recomendado de lucro, para serviços de limpeza e conservação, é de 5,57%, conforme estudos realizados pela Auditoria Interna do MPU." sqref="F74" xr:uid="{00000000-0002-0000-0000-000003000000}">
      <formula1>0</formula1>
      <formula2>5.57</formula2>
    </dataValidation>
    <dataValidation type="decimal" errorStyle="warning" allowBlank="1" showInputMessage="1" showErrorMessage="1" errorTitle="Erro na inserção de dados." error="O percentual recomendado de custos indiretos, para serviços de limpeza e conservação, é de 4,73%, conforme estudos realizados pela Auditoria Interna do MPU." sqref="F73" xr:uid="{00000000-0002-0000-0000-000004000000}">
      <formula1>0</formula1>
      <formula2>4.73</formula2>
    </dataValidation>
    <dataValidation type="list" operator="equal" allowBlank="1" showInputMessage="1" showErrorMessage="1" errorTitle="Erro na inserção de dados." error="De acordo com o art. 192 da CLT, estão previstos somente os percentuais de 40% (máximo), 20% (médio) ou 10% (mínimo), conforme for a exposição ao risco." sqref="F32" xr:uid="{00000000-0002-0000-0000-000005000000}">
      <formula1>"0,10,20,40"</formula1>
    </dataValidation>
    <dataValidation type="list" allowBlank="1" showInputMessage="1" showErrorMessage="1" errorTitle="Erro na inserção de dados." error="Somente estão previstos 15 dias (intercalados), no caso de postos 12x36 horas, ou 22 dias (úteis), no caso de postos 44 horas." sqref="F43" xr:uid="{00000000-0002-0000-0000-000006000000}">
      <formula1>"15,22"</formula1>
    </dataValidation>
    <dataValidation type="decimal" errorStyle="warning" operator="greaterThanOrEqual" allowBlank="1" showInputMessage="1" showErrorMessage="1" errorTitle="Atentar para o valor do salário." error="Tem certeza que o valor do salário normativo é menor que o salário mínimo vigente no país?" sqref="F19:F20" xr:uid="{00000000-0002-0000-0000-000007000000}">
      <formula1>F27</formula1>
    </dataValidation>
    <dataValidation type="decimal" errorStyle="warning" operator="equal" allowBlank="1" showInputMessage="1" showErrorMessage="1" errorTitle="Atentar para o valor do salário." error="Tem certeza que o valor do salário normativo do servente de área hospitalar é diferente ao salário normativo do servente?" sqref="F21" xr:uid="{00000000-0002-0000-0000-000008000000}">
      <formula1>F20</formula1>
    </dataValidation>
    <dataValidation type="list" showInputMessage="1" showErrorMessage="1" sqref="D19:D21" xr:uid="{00000000-0002-0000-0000-000009000000}">
      <formula1>"SIM,NÃO"</formula1>
    </dataValidation>
    <dataValidation type="whole" errorStyle="warning" operator="lessThanOrEqual" showInputMessage="1" showErrorMessage="1" errorTitle="Atentar para a quantidade." error="Tem certeza que o quantitativo de encarregados obedece a relação de 1 para cada 30 serventes?" sqref="E19" xr:uid="{00000000-0002-0000-0000-00000A000000}">
      <formula1>QTDE_ESTIMADA_SERVENTES/RELACAO_SERVENTES_ENCARREGADOS</formula1>
    </dataValidation>
    <dataValidation type="list" allowBlank="1" showInputMessage="1" showErrorMessage="1" sqref="N4" xr:uid="{00000000-0002-0000-0000-00000B000000}">
      <formula1>"7/2015,213/2017"</formula1>
    </dataValidation>
    <dataValidation type="decimal" errorStyle="warning" operator="equal" allowBlank="1" showInputMessage="1" showErrorMessage="1" errorTitle="Incluir a área médica." error="Atente para a inclusão da área médico hospitalar a ser limpa." sqref="E21" xr:uid="{00000000-0002-0000-0000-00000C000000}">
      <formula1>0</formula1>
    </dataValidation>
    <dataValidation type="list" errorStyle="warning" allowBlank="1" showInputMessage="1" showErrorMessage="1" errorTitle="Atentar para a produtividade." error="Tem certeza que a produtividade é diferente do previsto nas Portarias SLTI/MPOG nº 7/2015 e SEGES nº 213/2017?" sqref="M9" xr:uid="{00000000-0002-0000-0000-00000D000000}">
      <formula1>"600,800"</formula1>
    </dataValidation>
    <dataValidation type="list" errorStyle="warning" allowBlank="1" showInputMessage="1" showErrorMessage="1" errorTitle="Atentar para a produtividade." error="Tem certeza que a produtividade é diferente do previsto nas Portarias SLTI/MPOG nº 7/2015 e SEGES nº 213/2017?" sqref="M10" xr:uid="{00000000-0002-0000-0000-00000E000000}">
      <formula1>"1200,1800"</formula1>
    </dataValidation>
    <dataValidation type="list" errorStyle="warning" allowBlank="1" showInputMessage="1" showErrorMessage="1" errorTitle="Atentar para a produtividade." error="Tem certeza que a produtividade é diferente do previsto nas Portarias SLTI/MPOG nº 7/2015 e SEGES nº 213/2017?" sqref="M11" xr:uid="{00000000-0002-0000-0000-00000F000000}">
      <formula1>"220,300"</formula1>
    </dataValidation>
    <dataValidation type="list" errorStyle="warning" allowBlank="1" showInputMessage="1" showErrorMessage="1" errorTitle="Atentar para a produtividade." error="Tem certeza que a produtividade é diferente do previsto nas Portarias SLTI/MPOG nº 7/2015 e SEGES nº 213/2017?" sqref="M12" xr:uid="{00000000-0002-0000-0000-000010000000}">
      <formula1>"110,130"</formula1>
    </dataValidation>
    <dataValidation type="whole" errorStyle="warning" operator="equal" allowBlank="1" showInputMessage="1" showErrorMessage="1" errorTitle="Atenção para a inclusão do item." error="Segundo estudos da Audin-MPU, a inclusão deste item não é usual nas planilhas de custos no âmbito do MPU. Verifique se realmente há necessidade de incluí-lo." promptTitle="Intervalo Intrajornada" prompt="Segundo estudos da Audin-MPU, esse item não é usual nas planilhas do MPU. Verifique se realmente há necessidade de incluí-lo." sqref="F55:F56" xr:uid="{00000000-0002-0000-0000-000011000000}">
      <formula1>0</formula1>
    </dataValidation>
    <dataValidation type="list" allowBlank="1" showInputMessage="1" showErrorMessage="1" sqref="F13" xr:uid="{00000000-0002-0000-0000-000012000000}">
      <formula1>"AC,AL,AP,AM,BA,CE,DF,ES,GO,MA,MG,MS,MT,PA,PB,PR,PE,PI,RJ,RN,RO,RR,RS,SC,SP,SE,TO"</formula1>
    </dataValidation>
  </dataValidations>
  <pageMargins left="0.17" right="0.17" top="0.46" bottom="0.33" header="0.31496062000000002" footer="0.31496062000000002"/>
  <pageSetup paperSize="9" scale="50" orientation="portrait" r:id="rId1"/>
  <ignoredErrors>
    <ignoredError sqref="B19:B2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errorStyle="warning" operator="lessThanOrEqual" allowBlank="1" showInputMessage="1" showErrorMessage="1" errorTitle="Atentar para o quantitativo." error="Tem certeza que o quantitativo de serventes está de acordo com a produtividade das áreas a serem limpas?" xr:uid="{00000000-0002-0000-0000-000013000000}">
          <x14:formula1>
            <xm:f>'QTDE-ESTIMADA-SERVENTES'!D10</xm:f>
          </x14:formula1>
          <xm:sqref>E20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41"/>
  <sheetViews>
    <sheetView zoomScaleNormal="100" workbookViewId="0">
      <pane xSplit="2" ySplit="5" topLeftCell="C6" activePane="bottomRight" state="frozen"/>
      <selection pane="topRight" sqref="A1:B1"/>
      <selection pane="bottomLeft" sqref="A1:B1"/>
      <selection pane="bottomRight" activeCell="AA16" sqref="AA16"/>
    </sheetView>
  </sheetViews>
  <sheetFormatPr defaultRowHeight="16.5" x14ac:dyDescent="0.3"/>
  <cols>
    <col min="1" max="1" width="4.42578125" style="87" customWidth="1"/>
    <col min="2" max="2" width="10.42578125" style="87" customWidth="1"/>
    <col min="3" max="3" width="7.42578125" style="87" bestFit="1" customWidth="1"/>
    <col min="4" max="10" width="7" style="87" customWidth="1"/>
    <col min="11" max="11" width="7.42578125" style="87" bestFit="1" customWidth="1"/>
    <col min="12" max="18" width="7" style="87" customWidth="1"/>
    <col min="19" max="16384" width="9.140625" style="87"/>
  </cols>
  <sheetData>
    <row r="1" spans="1:21" ht="17.25" x14ac:dyDescent="0.3">
      <c r="A1" s="93" t="s">
        <v>341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88"/>
      <c r="M1" s="88"/>
      <c r="N1" s="88"/>
      <c r="Q1" s="88"/>
      <c r="R1" s="195" t="s">
        <v>304</v>
      </c>
    </row>
    <row r="2" spans="1:21" ht="16.5" customHeight="1" x14ac:dyDescent="0.3">
      <c r="A2" s="371" t="s">
        <v>305</v>
      </c>
      <c r="B2" s="374" t="s">
        <v>306</v>
      </c>
      <c r="C2" s="367" t="s">
        <v>342</v>
      </c>
      <c r="D2" s="380"/>
      <c r="E2" s="380"/>
      <c r="F2" s="381"/>
      <c r="G2" s="379" t="s">
        <v>343</v>
      </c>
      <c r="H2" s="380"/>
      <c r="I2" s="380"/>
      <c r="J2" s="381"/>
      <c r="K2" s="379" t="s">
        <v>344</v>
      </c>
      <c r="L2" s="380"/>
      <c r="M2" s="380"/>
      <c r="N2" s="381"/>
      <c r="O2" s="379" t="s">
        <v>345</v>
      </c>
      <c r="P2" s="380"/>
      <c r="Q2" s="380"/>
      <c r="R2" s="380"/>
    </row>
    <row r="3" spans="1:21" ht="6.75" customHeight="1" x14ac:dyDescent="0.3">
      <c r="A3" s="372"/>
      <c r="B3" s="375"/>
      <c r="C3" s="385"/>
      <c r="D3" s="386"/>
      <c r="E3" s="386"/>
      <c r="F3" s="387"/>
      <c r="G3" s="382"/>
      <c r="H3" s="383"/>
      <c r="I3" s="383"/>
      <c r="J3" s="384"/>
      <c r="K3" s="382"/>
      <c r="L3" s="383"/>
      <c r="M3" s="383"/>
      <c r="N3" s="384"/>
      <c r="O3" s="382"/>
      <c r="P3" s="383"/>
      <c r="Q3" s="383"/>
      <c r="R3" s="383"/>
    </row>
    <row r="4" spans="1:21" ht="16.5" customHeight="1" x14ac:dyDescent="0.3">
      <c r="A4" s="372"/>
      <c r="B4" s="375"/>
      <c r="C4" s="119">
        <v>800</v>
      </c>
      <c r="D4" s="121" t="s">
        <v>346</v>
      </c>
      <c r="E4" s="119">
        <v>1200</v>
      </c>
      <c r="F4" s="120" t="s">
        <v>346</v>
      </c>
      <c r="G4" s="119">
        <v>1800</v>
      </c>
      <c r="H4" s="121" t="s">
        <v>346</v>
      </c>
      <c r="I4" s="119">
        <v>2700</v>
      </c>
      <c r="J4" s="120" t="s">
        <v>346</v>
      </c>
      <c r="K4" s="119">
        <v>300</v>
      </c>
      <c r="L4" s="121" t="s">
        <v>346</v>
      </c>
      <c r="M4" s="119">
        <v>380</v>
      </c>
      <c r="N4" s="120" t="s">
        <v>346</v>
      </c>
      <c r="O4" s="119">
        <v>130</v>
      </c>
      <c r="P4" s="121" t="s">
        <v>346</v>
      </c>
      <c r="Q4" s="119">
        <v>160</v>
      </c>
      <c r="R4" s="120" t="s">
        <v>346</v>
      </c>
    </row>
    <row r="5" spans="1:21" ht="33" x14ac:dyDescent="0.3">
      <c r="A5" s="373"/>
      <c r="B5" s="376"/>
      <c r="C5" s="89" t="s">
        <v>347</v>
      </c>
      <c r="D5" s="89" t="s">
        <v>348</v>
      </c>
      <c r="E5" s="89" t="s">
        <v>347</v>
      </c>
      <c r="F5" s="89" t="s">
        <v>348</v>
      </c>
      <c r="G5" s="89" t="s">
        <v>347</v>
      </c>
      <c r="H5" s="89" t="s">
        <v>348</v>
      </c>
      <c r="I5" s="89" t="s">
        <v>347</v>
      </c>
      <c r="J5" s="89" t="s">
        <v>348</v>
      </c>
      <c r="K5" s="89" t="s">
        <v>347</v>
      </c>
      <c r="L5" s="89" t="s">
        <v>348</v>
      </c>
      <c r="M5" s="89" t="s">
        <v>347</v>
      </c>
      <c r="N5" s="89" t="s">
        <v>348</v>
      </c>
      <c r="O5" s="89" t="s">
        <v>347</v>
      </c>
      <c r="P5" s="89" t="s">
        <v>348</v>
      </c>
      <c r="Q5" s="89" t="s">
        <v>347</v>
      </c>
      <c r="R5" s="89" t="s">
        <v>348</v>
      </c>
    </row>
    <row r="6" spans="1:21" x14ac:dyDescent="0.3">
      <c r="A6" s="1" t="s">
        <v>312</v>
      </c>
      <c r="B6" s="115">
        <v>43349</v>
      </c>
      <c r="C6" s="91">
        <v>3.57</v>
      </c>
      <c r="D6" s="91">
        <v>4.3</v>
      </c>
      <c r="E6" s="91">
        <v>2.38</v>
      </c>
      <c r="F6" s="91">
        <v>2.86</v>
      </c>
      <c r="G6" s="91">
        <v>1.59</v>
      </c>
      <c r="H6" s="91">
        <v>1.98</v>
      </c>
      <c r="I6" s="91">
        <v>1.06</v>
      </c>
      <c r="J6" s="91">
        <v>1.27</v>
      </c>
      <c r="K6" s="91">
        <v>0.81</v>
      </c>
      <c r="L6" s="91">
        <v>0.97</v>
      </c>
      <c r="M6" s="91">
        <v>0.64</v>
      </c>
      <c r="N6" s="91">
        <v>0.77</v>
      </c>
      <c r="O6" s="91">
        <v>0.2</v>
      </c>
      <c r="P6" s="91">
        <v>0.24</v>
      </c>
      <c r="Q6" s="91">
        <v>0.17</v>
      </c>
      <c r="R6" s="91">
        <v>0.2</v>
      </c>
    </row>
    <row r="7" spans="1:21" x14ac:dyDescent="0.3">
      <c r="A7" s="1" t="s">
        <v>313</v>
      </c>
      <c r="B7" s="115">
        <v>43805</v>
      </c>
      <c r="C7" s="92">
        <v>3.88</v>
      </c>
      <c r="D7" s="92">
        <v>4.67</v>
      </c>
      <c r="E7" s="92">
        <v>2.59</v>
      </c>
      <c r="F7" s="92">
        <v>3.12</v>
      </c>
      <c r="G7" s="92">
        <v>1.73</v>
      </c>
      <c r="H7" s="92">
        <v>2.08</v>
      </c>
      <c r="I7" s="92">
        <v>1.1499999999999999</v>
      </c>
      <c r="J7" s="92">
        <v>1.38</v>
      </c>
      <c r="K7" s="92">
        <v>0.88</v>
      </c>
      <c r="L7" s="92">
        <v>1.06</v>
      </c>
      <c r="M7" s="92">
        <v>0.69</v>
      </c>
      <c r="N7" s="92">
        <v>0.83</v>
      </c>
      <c r="O7" s="92">
        <v>0.21</v>
      </c>
      <c r="P7" s="92">
        <v>0.25</v>
      </c>
      <c r="Q7" s="92">
        <v>0.17</v>
      </c>
      <c r="R7" s="92">
        <v>0.21</v>
      </c>
    </row>
    <row r="8" spans="1:21" x14ac:dyDescent="0.3">
      <c r="A8" s="1" t="s">
        <v>314</v>
      </c>
      <c r="B8" s="115">
        <v>43643</v>
      </c>
      <c r="C8" s="91">
        <v>3.87</v>
      </c>
      <c r="D8" s="91">
        <v>4.66</v>
      </c>
      <c r="E8" s="91">
        <v>2.58</v>
      </c>
      <c r="F8" s="91">
        <v>3.11</v>
      </c>
      <c r="G8" s="91">
        <v>1.72</v>
      </c>
      <c r="H8" s="91">
        <v>2.0699999999999998</v>
      </c>
      <c r="I8" s="91">
        <v>1.1499999999999999</v>
      </c>
      <c r="J8" s="91">
        <v>1.38</v>
      </c>
      <c r="K8" s="91">
        <v>0.88</v>
      </c>
      <c r="L8" s="91">
        <v>1.05</v>
      </c>
      <c r="M8" s="91">
        <v>0.69</v>
      </c>
      <c r="N8" s="91">
        <v>0.83</v>
      </c>
      <c r="O8" s="91">
        <v>0.26</v>
      </c>
      <c r="P8" s="91">
        <v>0.31</v>
      </c>
      <c r="Q8" s="91">
        <v>0.21</v>
      </c>
      <c r="R8" s="91">
        <v>0.26</v>
      </c>
    </row>
    <row r="9" spans="1:21" x14ac:dyDescent="0.3">
      <c r="A9" s="1" t="s">
        <v>315</v>
      </c>
      <c r="B9" s="115">
        <v>43349</v>
      </c>
      <c r="C9" s="92">
        <v>3.73</v>
      </c>
      <c r="D9" s="92">
        <v>4.5</v>
      </c>
      <c r="E9" s="92">
        <v>2.4900000000000002</v>
      </c>
      <c r="F9" s="92">
        <v>3</v>
      </c>
      <c r="G9" s="92">
        <v>1.66</v>
      </c>
      <c r="H9" s="92">
        <v>2</v>
      </c>
      <c r="I9" s="92">
        <v>1.1100000000000001</v>
      </c>
      <c r="J9" s="92">
        <v>1.33</v>
      </c>
      <c r="K9" s="92">
        <v>0.84</v>
      </c>
      <c r="L9" s="92">
        <v>1.02</v>
      </c>
      <c r="M9" s="92">
        <v>0.67</v>
      </c>
      <c r="N9" s="92">
        <v>0.8</v>
      </c>
      <c r="O9" s="92">
        <v>0.2</v>
      </c>
      <c r="P9" s="92">
        <v>0.24</v>
      </c>
      <c r="Q9" s="92">
        <v>0.17</v>
      </c>
      <c r="R9" s="92">
        <v>0.2</v>
      </c>
      <c r="U9" s="202"/>
    </row>
    <row r="10" spans="1:21" x14ac:dyDescent="0.3">
      <c r="A10" s="1" t="s">
        <v>316</v>
      </c>
      <c r="B10" s="115">
        <v>43013</v>
      </c>
      <c r="C10" s="91">
        <v>3.49</v>
      </c>
      <c r="D10" s="91">
        <v>4.22</v>
      </c>
      <c r="E10" s="91">
        <v>2.3199999999999998</v>
      </c>
      <c r="F10" s="91">
        <v>2.81</v>
      </c>
      <c r="G10" s="91">
        <v>1.55</v>
      </c>
      <c r="H10" s="91">
        <v>1.88</v>
      </c>
      <c r="I10" s="91">
        <v>1.03</v>
      </c>
      <c r="J10" s="91">
        <v>1.25</v>
      </c>
      <c r="K10" s="91">
        <v>0.79</v>
      </c>
      <c r="L10" s="91">
        <v>0.95</v>
      </c>
      <c r="M10" s="91">
        <v>0.62</v>
      </c>
      <c r="N10" s="91">
        <v>0.75</v>
      </c>
      <c r="O10" s="91">
        <v>0.19</v>
      </c>
      <c r="P10" s="91">
        <v>0.23</v>
      </c>
      <c r="Q10" s="91">
        <v>0.15</v>
      </c>
      <c r="R10" s="91">
        <v>0.18</v>
      </c>
      <c r="U10" s="201"/>
    </row>
    <row r="11" spans="1:21" x14ac:dyDescent="0.3">
      <c r="A11" s="1" t="s">
        <v>317</v>
      </c>
      <c r="B11" s="115">
        <v>43690</v>
      </c>
      <c r="C11" s="92">
        <v>4.28</v>
      </c>
      <c r="D11" s="92">
        <v>5.15</v>
      </c>
      <c r="E11" s="92">
        <v>2.85</v>
      </c>
      <c r="F11" s="92">
        <v>3.44</v>
      </c>
      <c r="G11" s="92">
        <v>1.9</v>
      </c>
      <c r="H11" s="92">
        <v>2.29</v>
      </c>
      <c r="I11" s="92">
        <v>1.27</v>
      </c>
      <c r="J11" s="92">
        <v>1.53</v>
      </c>
      <c r="K11" s="92">
        <v>0.97</v>
      </c>
      <c r="L11" s="92">
        <v>1.1599999999999999</v>
      </c>
      <c r="M11" s="92">
        <v>0.76</v>
      </c>
      <c r="N11" s="92">
        <v>0.92</v>
      </c>
      <c r="O11" s="92">
        <v>0.23</v>
      </c>
      <c r="P11" s="92">
        <v>0.27</v>
      </c>
      <c r="Q11" s="92">
        <v>0.18</v>
      </c>
      <c r="R11" s="92">
        <v>0.22</v>
      </c>
      <c r="U11" s="202"/>
    </row>
    <row r="12" spans="1:21" x14ac:dyDescent="0.3">
      <c r="A12" s="1" t="s">
        <v>40</v>
      </c>
      <c r="B12" s="115">
        <v>43593</v>
      </c>
      <c r="C12" s="91">
        <v>5.6</v>
      </c>
      <c r="D12" s="91">
        <v>6.73</v>
      </c>
      <c r="E12" s="91">
        <v>3.73</v>
      </c>
      <c r="F12" s="91">
        <v>4.4800000000000004</v>
      </c>
      <c r="G12" s="91">
        <v>2.4900000000000002</v>
      </c>
      <c r="H12" s="91">
        <v>2.99</v>
      </c>
      <c r="I12" s="91">
        <v>1.66</v>
      </c>
      <c r="J12" s="91">
        <v>1.99</v>
      </c>
      <c r="K12" s="91">
        <v>1.26</v>
      </c>
      <c r="L12" s="91">
        <v>1.52</v>
      </c>
      <c r="M12" s="91">
        <v>1</v>
      </c>
      <c r="N12" s="91">
        <v>1.2</v>
      </c>
      <c r="O12" s="91">
        <v>0.4</v>
      </c>
      <c r="P12" s="91">
        <v>0.48</v>
      </c>
      <c r="Q12" s="91">
        <v>0.33</v>
      </c>
      <c r="R12" s="91">
        <v>0.39</v>
      </c>
      <c r="U12" s="201"/>
    </row>
    <row r="13" spans="1:21" x14ac:dyDescent="0.3">
      <c r="A13" s="1" t="s">
        <v>318</v>
      </c>
      <c r="B13" s="115">
        <v>43234</v>
      </c>
      <c r="C13" s="92">
        <v>4.55</v>
      </c>
      <c r="D13" s="92">
        <v>5.48</v>
      </c>
      <c r="E13" s="92">
        <v>3.03</v>
      </c>
      <c r="F13" s="92">
        <v>3.65</v>
      </c>
      <c r="G13" s="92">
        <v>2.02</v>
      </c>
      <c r="H13" s="92">
        <v>2.4300000000000002</v>
      </c>
      <c r="I13" s="92">
        <v>1.35</v>
      </c>
      <c r="J13" s="92">
        <v>1.62</v>
      </c>
      <c r="K13" s="92">
        <v>1.03</v>
      </c>
      <c r="L13" s="92">
        <v>1.24</v>
      </c>
      <c r="M13" s="92">
        <v>0.81</v>
      </c>
      <c r="N13" s="92">
        <v>0.98</v>
      </c>
      <c r="O13" s="92">
        <v>0.24</v>
      </c>
      <c r="P13" s="92">
        <v>0.28999999999999998</v>
      </c>
      <c r="Q13" s="92">
        <v>0.19</v>
      </c>
      <c r="R13" s="92">
        <v>0.23</v>
      </c>
      <c r="U13" s="202"/>
    </row>
    <row r="14" spans="1:21" x14ac:dyDescent="0.3">
      <c r="A14" s="1" t="s">
        <v>319</v>
      </c>
      <c r="B14" s="115">
        <v>43690</v>
      </c>
      <c r="C14" s="91">
        <v>3.94</v>
      </c>
      <c r="D14" s="91">
        <v>4.75</v>
      </c>
      <c r="E14" s="91">
        <v>2.63</v>
      </c>
      <c r="F14" s="91">
        <v>3.17</v>
      </c>
      <c r="G14" s="91">
        <v>1.75</v>
      </c>
      <c r="H14" s="91">
        <v>2.11</v>
      </c>
      <c r="I14" s="91">
        <v>1.17</v>
      </c>
      <c r="J14" s="91">
        <v>1.41</v>
      </c>
      <c r="K14" s="91">
        <v>0.89</v>
      </c>
      <c r="L14" s="91">
        <v>1.07</v>
      </c>
      <c r="M14" s="91">
        <v>0.7</v>
      </c>
      <c r="N14" s="91">
        <v>0.85</v>
      </c>
      <c r="O14" s="91">
        <v>0.34</v>
      </c>
      <c r="P14" s="91">
        <v>0.41</v>
      </c>
      <c r="Q14" s="91">
        <v>0.28000000000000003</v>
      </c>
      <c r="R14" s="91">
        <v>0.33</v>
      </c>
      <c r="U14" s="201"/>
    </row>
    <row r="15" spans="1:21" x14ac:dyDescent="0.3">
      <c r="A15" s="1" t="s">
        <v>320</v>
      </c>
      <c r="B15" s="115">
        <v>43349</v>
      </c>
      <c r="C15" s="92">
        <v>3.94</v>
      </c>
      <c r="D15" s="92">
        <v>4.74</v>
      </c>
      <c r="E15" s="92">
        <v>2.63</v>
      </c>
      <c r="F15" s="92">
        <v>3.16</v>
      </c>
      <c r="G15" s="92">
        <v>1.75</v>
      </c>
      <c r="H15" s="92">
        <v>2.11</v>
      </c>
      <c r="I15" s="92">
        <v>1.17</v>
      </c>
      <c r="J15" s="92">
        <v>1.4</v>
      </c>
      <c r="K15" s="92">
        <v>0.89</v>
      </c>
      <c r="L15" s="92">
        <v>1.07</v>
      </c>
      <c r="M15" s="92">
        <v>0.7</v>
      </c>
      <c r="N15" s="92">
        <v>0.85</v>
      </c>
      <c r="O15" s="92">
        <v>0.21</v>
      </c>
      <c r="P15" s="92">
        <v>0.25</v>
      </c>
      <c r="Q15" s="92">
        <v>0.17</v>
      </c>
      <c r="R15" s="92">
        <v>0.21</v>
      </c>
      <c r="U15" s="202"/>
    </row>
    <row r="16" spans="1:21" x14ac:dyDescent="0.3">
      <c r="A16" s="1" t="s">
        <v>321</v>
      </c>
      <c r="B16" s="115">
        <v>43643</v>
      </c>
      <c r="C16" s="91">
        <v>4.38</v>
      </c>
      <c r="D16" s="91">
        <v>5.28</v>
      </c>
      <c r="E16" s="91">
        <v>2.92</v>
      </c>
      <c r="F16" s="91">
        <v>3.52</v>
      </c>
      <c r="G16" s="91">
        <v>1.95</v>
      </c>
      <c r="H16" s="91">
        <v>2.35</v>
      </c>
      <c r="I16" s="91">
        <v>1.3</v>
      </c>
      <c r="J16" s="91">
        <v>1.56</v>
      </c>
      <c r="K16" s="91">
        <v>0.99</v>
      </c>
      <c r="L16" s="91">
        <v>1.19</v>
      </c>
      <c r="M16" s="91">
        <v>0.78</v>
      </c>
      <c r="N16" s="91">
        <v>0.94</v>
      </c>
      <c r="O16" s="91">
        <v>0.25</v>
      </c>
      <c r="P16" s="91">
        <v>0.3</v>
      </c>
      <c r="Q16" s="91">
        <v>0.21</v>
      </c>
      <c r="R16" s="91">
        <v>0.25</v>
      </c>
      <c r="U16" s="201"/>
    </row>
    <row r="17" spans="1:33" x14ac:dyDescent="0.3">
      <c r="A17" s="1" t="s">
        <v>322</v>
      </c>
      <c r="B17" s="115">
        <v>43735</v>
      </c>
      <c r="C17" s="92">
        <v>3.69</v>
      </c>
      <c r="D17" s="92">
        <v>4.4400000000000004</v>
      </c>
      <c r="E17" s="92">
        <v>2.46</v>
      </c>
      <c r="F17" s="92">
        <v>2.96</v>
      </c>
      <c r="G17" s="92">
        <v>1.64</v>
      </c>
      <c r="H17" s="92">
        <v>1.97</v>
      </c>
      <c r="I17" s="92">
        <v>1.0900000000000001</v>
      </c>
      <c r="J17" s="92">
        <v>1.32</v>
      </c>
      <c r="K17" s="92">
        <v>0.83</v>
      </c>
      <c r="L17" s="92">
        <v>1</v>
      </c>
      <c r="M17" s="92">
        <v>0.66</v>
      </c>
      <c r="N17" s="92">
        <v>0.79</v>
      </c>
      <c r="O17" s="92">
        <v>0.21</v>
      </c>
      <c r="P17" s="92">
        <v>0.25</v>
      </c>
      <c r="Q17" s="92">
        <v>0.17</v>
      </c>
      <c r="R17" s="92">
        <v>0.2</v>
      </c>
    </row>
    <row r="18" spans="1:33" x14ac:dyDescent="0.3">
      <c r="A18" s="1" t="s">
        <v>323</v>
      </c>
      <c r="B18" s="115">
        <v>43805</v>
      </c>
      <c r="C18" s="91">
        <v>4.3600000000000003</v>
      </c>
      <c r="D18" s="91">
        <v>5.25</v>
      </c>
      <c r="E18" s="91">
        <v>2.91</v>
      </c>
      <c r="F18" s="91">
        <v>3.5</v>
      </c>
      <c r="G18" s="91">
        <v>1.94</v>
      </c>
      <c r="H18" s="91">
        <v>2.34</v>
      </c>
      <c r="I18" s="91">
        <v>1.29</v>
      </c>
      <c r="J18" s="91">
        <v>1.56</v>
      </c>
      <c r="K18" s="91">
        <v>0.99</v>
      </c>
      <c r="L18" s="91">
        <v>1.19</v>
      </c>
      <c r="M18" s="91">
        <v>0.78</v>
      </c>
      <c r="N18" s="91">
        <v>0.94</v>
      </c>
      <c r="O18" s="91">
        <v>0.26</v>
      </c>
      <c r="P18" s="91">
        <v>0.31</v>
      </c>
      <c r="Q18" s="91">
        <v>0.21</v>
      </c>
      <c r="R18" s="91">
        <v>0.25</v>
      </c>
    </row>
    <row r="19" spans="1:33" x14ac:dyDescent="0.3">
      <c r="A19" s="1" t="s">
        <v>324</v>
      </c>
      <c r="B19" s="115">
        <v>43690</v>
      </c>
      <c r="C19" s="92">
        <v>4.1900000000000004</v>
      </c>
      <c r="D19" s="92">
        <v>5.04</v>
      </c>
      <c r="E19" s="92">
        <v>2.79</v>
      </c>
      <c r="F19" s="92">
        <v>3.36</v>
      </c>
      <c r="G19" s="92">
        <v>1.86</v>
      </c>
      <c r="H19" s="92">
        <v>2.2400000000000002</v>
      </c>
      <c r="I19" s="92">
        <v>1.24</v>
      </c>
      <c r="J19" s="92">
        <v>1.49</v>
      </c>
      <c r="K19" s="92">
        <v>0.95</v>
      </c>
      <c r="L19" s="92">
        <v>1.1399999999999999</v>
      </c>
      <c r="M19" s="92">
        <v>0.75</v>
      </c>
      <c r="N19" s="92">
        <v>0.9</v>
      </c>
      <c r="O19" s="92">
        <v>0.23</v>
      </c>
      <c r="P19" s="92">
        <v>0.28000000000000003</v>
      </c>
      <c r="Q19" s="92">
        <v>0.19</v>
      </c>
      <c r="R19" s="92">
        <v>0.22</v>
      </c>
    </row>
    <row r="20" spans="1:33" x14ac:dyDescent="0.3">
      <c r="A20" s="1" t="s">
        <v>325</v>
      </c>
      <c r="B20" s="115">
        <v>43761</v>
      </c>
      <c r="C20" s="91">
        <v>3.74</v>
      </c>
      <c r="D20" s="91">
        <v>4.5</v>
      </c>
      <c r="E20" s="91">
        <v>2.4900000000000002</v>
      </c>
      <c r="F20" s="91">
        <v>3</v>
      </c>
      <c r="G20" s="91">
        <v>1.66</v>
      </c>
      <c r="H20" s="91">
        <v>2</v>
      </c>
      <c r="I20" s="91">
        <v>1.1100000000000001</v>
      </c>
      <c r="J20" s="91">
        <v>1.33</v>
      </c>
      <c r="K20" s="91">
        <v>0.84</v>
      </c>
      <c r="L20" s="91">
        <v>1.02</v>
      </c>
      <c r="M20" s="91">
        <v>0.67</v>
      </c>
      <c r="N20" s="91">
        <v>0.8</v>
      </c>
      <c r="O20" s="91">
        <v>0.2</v>
      </c>
      <c r="P20" s="91">
        <v>0.24</v>
      </c>
      <c r="Q20" s="91">
        <v>0.17</v>
      </c>
      <c r="R20" s="91">
        <v>0.2</v>
      </c>
    </row>
    <row r="21" spans="1:33" x14ac:dyDescent="0.3">
      <c r="A21" s="1" t="s">
        <v>326</v>
      </c>
      <c r="B21" s="115">
        <v>43287</v>
      </c>
      <c r="C21" s="92">
        <v>3.7</v>
      </c>
      <c r="D21" s="92">
        <v>4.45</v>
      </c>
      <c r="E21" s="92">
        <v>2.4700000000000002</v>
      </c>
      <c r="F21" s="92">
        <v>2.97</v>
      </c>
      <c r="G21" s="92">
        <v>1.64</v>
      </c>
      <c r="H21" s="92">
        <v>1.98</v>
      </c>
      <c r="I21" s="92">
        <v>1.1000000000000001</v>
      </c>
      <c r="J21" s="92">
        <v>1.32</v>
      </c>
      <c r="K21" s="92">
        <v>0.84</v>
      </c>
      <c r="L21" s="92">
        <v>1.01</v>
      </c>
      <c r="M21" s="92">
        <v>0.66</v>
      </c>
      <c r="N21" s="92">
        <v>0.79</v>
      </c>
      <c r="O21" s="92">
        <v>0.2</v>
      </c>
      <c r="P21" s="92">
        <v>0.24</v>
      </c>
      <c r="Q21" s="92">
        <v>0.16</v>
      </c>
      <c r="R21" s="92">
        <v>0.2</v>
      </c>
    </row>
    <row r="22" spans="1:33" x14ac:dyDescent="0.3">
      <c r="A22" s="1" t="s">
        <v>327</v>
      </c>
      <c r="B22" s="115">
        <v>43805</v>
      </c>
      <c r="C22" s="91">
        <v>3.92</v>
      </c>
      <c r="D22" s="91">
        <v>4.72</v>
      </c>
      <c r="E22" s="91">
        <v>2.61</v>
      </c>
      <c r="F22" s="91">
        <v>3.15</v>
      </c>
      <c r="G22" s="91">
        <v>1.74</v>
      </c>
      <c r="H22" s="91">
        <v>2.1</v>
      </c>
      <c r="I22" s="91">
        <v>1.1599999999999999</v>
      </c>
      <c r="J22" s="91">
        <v>1.4</v>
      </c>
      <c r="K22" s="91">
        <v>0.89</v>
      </c>
      <c r="L22" s="91">
        <v>1.07</v>
      </c>
      <c r="M22" s="91">
        <v>0.7</v>
      </c>
      <c r="N22" s="91">
        <v>0.84</v>
      </c>
      <c r="O22" s="91">
        <v>0.24</v>
      </c>
      <c r="P22" s="91">
        <v>0.28000000000000003</v>
      </c>
      <c r="Q22" s="91">
        <v>0.19</v>
      </c>
      <c r="R22" s="91">
        <v>0.23</v>
      </c>
    </row>
    <row r="23" spans="1:33" x14ac:dyDescent="0.3">
      <c r="A23" s="1" t="s">
        <v>328</v>
      </c>
      <c r="B23" s="115">
        <v>43234</v>
      </c>
      <c r="C23" s="92">
        <v>4.3600000000000003</v>
      </c>
      <c r="D23" s="92">
        <v>5.25</v>
      </c>
      <c r="E23" s="92">
        <v>2.91</v>
      </c>
      <c r="F23" s="92">
        <v>3.5</v>
      </c>
      <c r="G23" s="92">
        <v>1.94</v>
      </c>
      <c r="H23" s="92">
        <v>2.33</v>
      </c>
      <c r="I23" s="92">
        <v>1.29</v>
      </c>
      <c r="J23" s="92">
        <v>1.56</v>
      </c>
      <c r="K23" s="92">
        <v>0.99</v>
      </c>
      <c r="L23" s="92">
        <v>1.19</v>
      </c>
      <c r="M23" s="92">
        <v>0.78</v>
      </c>
      <c r="N23" s="92">
        <v>0.94</v>
      </c>
      <c r="O23" s="92">
        <v>0.24</v>
      </c>
      <c r="P23" s="92">
        <v>0.28000000000000003</v>
      </c>
      <c r="Q23" s="92">
        <v>0.19</v>
      </c>
      <c r="R23" s="92">
        <v>0.23</v>
      </c>
    </row>
    <row r="24" spans="1:33" ht="17.25" thickBot="1" x14ac:dyDescent="0.35">
      <c r="A24" s="1" t="s">
        <v>329</v>
      </c>
      <c r="B24" s="115">
        <v>43336</v>
      </c>
      <c r="C24" s="91">
        <v>4.46</v>
      </c>
      <c r="D24" s="91">
        <v>5.37</v>
      </c>
      <c r="E24" s="91">
        <v>2.97</v>
      </c>
      <c r="F24" s="91">
        <v>3.58</v>
      </c>
      <c r="G24" s="91">
        <v>1.98</v>
      </c>
      <c r="H24" s="91">
        <v>2.39</v>
      </c>
      <c r="I24" s="91">
        <v>1.32</v>
      </c>
      <c r="J24" s="91">
        <v>1.59</v>
      </c>
      <c r="K24" s="91">
        <v>1.01</v>
      </c>
      <c r="L24" s="91">
        <v>1.21</v>
      </c>
      <c r="M24" s="91">
        <v>0.8</v>
      </c>
      <c r="N24" s="91">
        <v>0.96</v>
      </c>
      <c r="O24" s="91">
        <v>0.28999999999999998</v>
      </c>
      <c r="P24" s="91">
        <v>0.34</v>
      </c>
      <c r="Q24" s="91">
        <v>0.23</v>
      </c>
      <c r="R24" s="91">
        <v>0.28000000000000003</v>
      </c>
    </row>
    <row r="25" spans="1:33" ht="17.25" thickBot="1" x14ac:dyDescent="0.35">
      <c r="A25" s="1" t="s">
        <v>330</v>
      </c>
      <c r="B25" s="115">
        <v>43349</v>
      </c>
      <c r="C25" s="92">
        <v>3.47</v>
      </c>
      <c r="D25" s="92">
        <v>4.18</v>
      </c>
      <c r="E25" s="92">
        <v>2.31</v>
      </c>
      <c r="F25" s="92">
        <v>2.79</v>
      </c>
      <c r="G25" s="92">
        <v>1.54</v>
      </c>
      <c r="H25" s="92">
        <v>1.86</v>
      </c>
      <c r="I25" s="92">
        <v>1.03</v>
      </c>
      <c r="J25" s="92">
        <v>1.24</v>
      </c>
      <c r="K25" s="92">
        <v>0.78</v>
      </c>
      <c r="L25" s="92">
        <v>0.94</v>
      </c>
      <c r="M25" s="92">
        <v>0.62</v>
      </c>
      <c r="N25" s="92">
        <v>0.75</v>
      </c>
      <c r="O25" s="92">
        <v>0.18</v>
      </c>
      <c r="P25" s="92">
        <v>0.22</v>
      </c>
      <c r="Q25" s="92">
        <v>0.15</v>
      </c>
      <c r="R25" s="92">
        <v>0.18</v>
      </c>
      <c r="Z25" s="198"/>
      <c r="AA25" s="199"/>
      <c r="AB25" s="200"/>
      <c r="AC25" s="199"/>
      <c r="AD25" s="200"/>
      <c r="AE25" s="199"/>
      <c r="AF25" s="200"/>
      <c r="AG25" s="199"/>
    </row>
    <row r="26" spans="1:33" x14ac:dyDescent="0.3">
      <c r="A26" s="1" t="s">
        <v>331</v>
      </c>
      <c r="B26" s="115">
        <v>43336</v>
      </c>
      <c r="C26" s="91">
        <v>4.1900000000000004</v>
      </c>
      <c r="D26" s="91">
        <v>5.04</v>
      </c>
      <c r="E26" s="91">
        <v>2.79</v>
      </c>
      <c r="F26" s="91">
        <v>3.36</v>
      </c>
      <c r="G26" s="91">
        <v>1.86</v>
      </c>
      <c r="H26" s="91">
        <v>2.2400000000000002</v>
      </c>
      <c r="I26" s="91">
        <v>1.24</v>
      </c>
      <c r="J26" s="91">
        <v>1.49</v>
      </c>
      <c r="K26" s="91">
        <v>0.95</v>
      </c>
      <c r="L26" s="91">
        <v>1.1399999999999999</v>
      </c>
      <c r="M26" s="91">
        <v>0.75</v>
      </c>
      <c r="N26" s="91">
        <v>0.9</v>
      </c>
      <c r="O26" s="91">
        <v>0.25</v>
      </c>
      <c r="P26" s="91">
        <v>0.3</v>
      </c>
      <c r="Q26" s="91">
        <v>0.21</v>
      </c>
      <c r="R26" s="91">
        <v>0.25</v>
      </c>
    </row>
    <row r="27" spans="1:33" x14ac:dyDescent="0.3">
      <c r="A27" s="1" t="s">
        <v>332</v>
      </c>
      <c r="B27" s="115">
        <v>43017</v>
      </c>
      <c r="C27" s="92">
        <v>4.09</v>
      </c>
      <c r="D27" s="92">
        <v>4.95</v>
      </c>
      <c r="E27" s="92">
        <v>2.72</v>
      </c>
      <c r="F27" s="92">
        <v>3.3</v>
      </c>
      <c r="G27" s="92">
        <v>1.82</v>
      </c>
      <c r="H27" s="92">
        <v>2.2000000000000002</v>
      </c>
      <c r="I27" s="92">
        <v>1.21</v>
      </c>
      <c r="J27" s="92">
        <v>1.47</v>
      </c>
      <c r="K27" s="92">
        <v>0.92</v>
      </c>
      <c r="L27" s="92">
        <v>1.1200000000000001</v>
      </c>
      <c r="M27" s="92">
        <v>0.73</v>
      </c>
      <c r="N27" s="92">
        <v>0.88</v>
      </c>
      <c r="O27" s="92">
        <v>0.27</v>
      </c>
      <c r="P27" s="92">
        <v>0.32</v>
      </c>
      <c r="Q27" s="92">
        <v>0.22</v>
      </c>
      <c r="R27" s="92">
        <v>0.26</v>
      </c>
    </row>
    <row r="28" spans="1:33" x14ac:dyDescent="0.3">
      <c r="A28" s="1" t="s">
        <v>333</v>
      </c>
      <c r="B28" s="115">
        <v>43643</v>
      </c>
      <c r="C28" s="91">
        <v>4.71</v>
      </c>
      <c r="D28" s="91">
        <v>5.67</v>
      </c>
      <c r="E28" s="91">
        <v>3.14</v>
      </c>
      <c r="F28" s="91">
        <v>3.78</v>
      </c>
      <c r="G28" s="91">
        <v>2.09</v>
      </c>
      <c r="H28" s="91">
        <v>2.52</v>
      </c>
      <c r="I28" s="91">
        <v>1.39</v>
      </c>
      <c r="J28" s="91">
        <v>1.68</v>
      </c>
      <c r="K28" s="91">
        <v>1.06</v>
      </c>
      <c r="L28" s="91">
        <v>1.28</v>
      </c>
      <c r="M28" s="91">
        <v>0.84</v>
      </c>
      <c r="N28" s="91">
        <v>1.01</v>
      </c>
      <c r="O28" s="91">
        <v>0.26</v>
      </c>
      <c r="P28" s="91">
        <v>0.31</v>
      </c>
      <c r="Q28" s="91">
        <v>0.21</v>
      </c>
      <c r="R28" s="91">
        <v>0.25</v>
      </c>
      <c r="V28" s="206"/>
    </row>
    <row r="29" spans="1:33" x14ac:dyDescent="0.3">
      <c r="A29" s="1" t="s">
        <v>334</v>
      </c>
      <c r="B29" s="115">
        <v>43690</v>
      </c>
      <c r="C29" s="92">
        <v>4.95</v>
      </c>
      <c r="D29" s="92">
        <v>5.97</v>
      </c>
      <c r="E29" s="92">
        <v>3.3</v>
      </c>
      <c r="F29" s="92">
        <v>3.98</v>
      </c>
      <c r="G29" s="92">
        <v>2.2000000000000002</v>
      </c>
      <c r="H29" s="92">
        <v>2.65</v>
      </c>
      <c r="I29" s="92">
        <v>1.47</v>
      </c>
      <c r="J29" s="92">
        <v>1.77</v>
      </c>
      <c r="K29" s="92">
        <v>1.1200000000000001</v>
      </c>
      <c r="L29" s="92">
        <v>1.35</v>
      </c>
      <c r="M29" s="92">
        <v>0.88</v>
      </c>
      <c r="N29" s="92">
        <v>1.07</v>
      </c>
      <c r="O29" s="92">
        <v>0.27</v>
      </c>
      <c r="P29" s="92">
        <v>0.33</v>
      </c>
      <c r="Q29" s="92">
        <v>0.22</v>
      </c>
      <c r="R29" s="92">
        <v>0.27</v>
      </c>
      <c r="V29" s="205"/>
    </row>
    <row r="30" spans="1:33" x14ac:dyDescent="0.3">
      <c r="A30" s="1" t="s">
        <v>335</v>
      </c>
      <c r="B30" s="115">
        <v>43761</v>
      </c>
      <c r="C30" s="91">
        <v>3.69</v>
      </c>
      <c r="D30" s="91">
        <v>4.45</v>
      </c>
      <c r="E30" s="91">
        <v>2.46</v>
      </c>
      <c r="F30" s="91">
        <v>2.96</v>
      </c>
      <c r="G30" s="91">
        <v>1.64</v>
      </c>
      <c r="H30" s="91">
        <v>1.98</v>
      </c>
      <c r="I30" s="91">
        <v>1.0900000000000001</v>
      </c>
      <c r="J30" s="91">
        <v>1.32</v>
      </c>
      <c r="K30" s="91">
        <v>0.83</v>
      </c>
      <c r="L30" s="91">
        <v>1.01</v>
      </c>
      <c r="M30" s="91">
        <v>0.66</v>
      </c>
      <c r="N30" s="91">
        <v>0.79</v>
      </c>
      <c r="O30" s="91">
        <v>0.2</v>
      </c>
      <c r="P30" s="91">
        <v>0.23</v>
      </c>
      <c r="Q30" s="91">
        <v>0.16</v>
      </c>
      <c r="R30" s="91">
        <v>0.19</v>
      </c>
      <c r="V30" s="206"/>
    </row>
    <row r="31" spans="1:33" x14ac:dyDescent="0.3">
      <c r="A31" s="1" t="s">
        <v>336</v>
      </c>
      <c r="B31" s="115">
        <v>43761</v>
      </c>
      <c r="C31" s="92">
        <v>4.49</v>
      </c>
      <c r="D31" s="92">
        <v>5.4</v>
      </c>
      <c r="E31" s="92">
        <v>2.99</v>
      </c>
      <c r="F31" s="92">
        <v>3.6</v>
      </c>
      <c r="G31" s="92">
        <v>1.99</v>
      </c>
      <c r="H31" s="92">
        <v>2.4</v>
      </c>
      <c r="I31" s="92">
        <v>1.33</v>
      </c>
      <c r="J31" s="92">
        <v>1.6</v>
      </c>
      <c r="K31" s="92">
        <v>1.01</v>
      </c>
      <c r="L31" s="92">
        <v>1.22</v>
      </c>
      <c r="M31" s="92">
        <v>0.8</v>
      </c>
      <c r="N31" s="92">
        <v>0.96</v>
      </c>
      <c r="O31" s="92">
        <v>0.3</v>
      </c>
      <c r="P31" s="92">
        <v>0.36</v>
      </c>
      <c r="Q31" s="92">
        <v>0.25</v>
      </c>
      <c r="R31" s="92">
        <v>0.28999999999999998</v>
      </c>
      <c r="V31" s="205"/>
    </row>
    <row r="32" spans="1:33" x14ac:dyDescent="0.3">
      <c r="A32" s="1" t="s">
        <v>337</v>
      </c>
      <c r="B32" s="115">
        <v>43761</v>
      </c>
      <c r="C32" s="91">
        <v>4.3099999999999996</v>
      </c>
      <c r="D32" s="91">
        <v>5.19</v>
      </c>
      <c r="E32" s="91">
        <v>2.88</v>
      </c>
      <c r="F32" s="91">
        <v>3.46</v>
      </c>
      <c r="G32" s="91">
        <v>1.92</v>
      </c>
      <c r="H32" s="91">
        <v>2.31</v>
      </c>
      <c r="I32" s="91">
        <v>1.28</v>
      </c>
      <c r="J32" s="91">
        <v>1.54</v>
      </c>
      <c r="K32" s="91">
        <v>0.97</v>
      </c>
      <c r="L32" s="91">
        <v>1.17</v>
      </c>
      <c r="M32" s="91">
        <v>0.77</v>
      </c>
      <c r="N32" s="91">
        <v>0.93</v>
      </c>
      <c r="O32" s="91">
        <v>0.37</v>
      </c>
      <c r="P32" s="91">
        <v>0.44</v>
      </c>
      <c r="Q32" s="91">
        <v>0.3</v>
      </c>
      <c r="R32" s="91">
        <v>0.36</v>
      </c>
      <c r="V32" s="206"/>
    </row>
    <row r="33" spans="1:24" x14ac:dyDescent="0.3">
      <c r="A33" s="377" t="s">
        <v>338</v>
      </c>
      <c r="B33" s="378"/>
      <c r="C33" s="81">
        <f>AVERAGE(C6:C32)</f>
        <v>4.13</v>
      </c>
      <c r="D33" s="81">
        <f t="shared" ref="D33:R33" si="0">AVERAGE(D6:D32)</f>
        <v>4.9800000000000004</v>
      </c>
      <c r="E33" s="81">
        <f t="shared" si="0"/>
        <v>2.75</v>
      </c>
      <c r="F33" s="81">
        <f t="shared" si="0"/>
        <v>3.32</v>
      </c>
      <c r="G33" s="81">
        <f t="shared" si="0"/>
        <v>1.84</v>
      </c>
      <c r="H33" s="81">
        <f t="shared" si="0"/>
        <v>2.21</v>
      </c>
      <c r="I33" s="81">
        <f t="shared" si="0"/>
        <v>1.22</v>
      </c>
      <c r="J33" s="81">
        <f t="shared" si="0"/>
        <v>1.47</v>
      </c>
      <c r="K33" s="81">
        <f t="shared" si="0"/>
        <v>0.93</v>
      </c>
      <c r="L33" s="81">
        <f t="shared" si="0"/>
        <v>1.1200000000000001</v>
      </c>
      <c r="M33" s="81">
        <f t="shared" si="0"/>
        <v>0.74</v>
      </c>
      <c r="N33" s="81">
        <f t="shared" si="0"/>
        <v>0.89</v>
      </c>
      <c r="O33" s="81">
        <f t="shared" si="0"/>
        <v>0.25</v>
      </c>
      <c r="P33" s="81">
        <f t="shared" si="0"/>
        <v>0.3</v>
      </c>
      <c r="Q33" s="81">
        <f t="shared" si="0"/>
        <v>0.2</v>
      </c>
      <c r="R33" s="81">
        <f t="shared" si="0"/>
        <v>0.24</v>
      </c>
      <c r="V33" s="205"/>
    </row>
    <row r="34" spans="1:24" x14ac:dyDescent="0.3">
      <c r="A34" s="369" t="s">
        <v>339</v>
      </c>
      <c r="B34" s="370"/>
      <c r="C34" s="81">
        <f>SMALL(C6:C32,27)</f>
        <v>5.6</v>
      </c>
      <c r="D34" s="81">
        <f t="shared" ref="D34:R34" si="1">SMALL(D6:D32,27)</f>
        <v>6.73</v>
      </c>
      <c r="E34" s="81">
        <f t="shared" si="1"/>
        <v>3.73</v>
      </c>
      <c r="F34" s="81">
        <f t="shared" si="1"/>
        <v>4.4800000000000004</v>
      </c>
      <c r="G34" s="81">
        <f t="shared" si="1"/>
        <v>2.4900000000000002</v>
      </c>
      <c r="H34" s="81">
        <f t="shared" si="1"/>
        <v>2.99</v>
      </c>
      <c r="I34" s="81">
        <f t="shared" si="1"/>
        <v>1.66</v>
      </c>
      <c r="J34" s="81">
        <f t="shared" si="1"/>
        <v>1.99</v>
      </c>
      <c r="K34" s="81">
        <f t="shared" si="1"/>
        <v>1.26</v>
      </c>
      <c r="L34" s="81">
        <f t="shared" si="1"/>
        <v>1.52</v>
      </c>
      <c r="M34" s="81">
        <f t="shared" si="1"/>
        <v>1</v>
      </c>
      <c r="N34" s="81">
        <f t="shared" si="1"/>
        <v>1.2</v>
      </c>
      <c r="O34" s="81">
        <f t="shared" si="1"/>
        <v>0.4</v>
      </c>
      <c r="P34" s="81">
        <f t="shared" si="1"/>
        <v>0.48</v>
      </c>
      <c r="Q34" s="81">
        <f t="shared" si="1"/>
        <v>0.33</v>
      </c>
      <c r="R34" s="81">
        <f t="shared" si="1"/>
        <v>0.39</v>
      </c>
      <c r="V34" s="206"/>
      <c r="X34" s="203"/>
    </row>
    <row r="35" spans="1:24" x14ac:dyDescent="0.3">
      <c r="A35" s="369" t="s">
        <v>340</v>
      </c>
      <c r="B35" s="370"/>
      <c r="C35" s="81">
        <f>LARGE(C7:C33,27)</f>
        <v>3.47</v>
      </c>
      <c r="D35" s="81">
        <f t="shared" ref="D35:R35" si="2">LARGE(D7:D33,27)</f>
        <v>4.18</v>
      </c>
      <c r="E35" s="81">
        <f t="shared" si="2"/>
        <v>2.31</v>
      </c>
      <c r="F35" s="81">
        <f t="shared" si="2"/>
        <v>2.79</v>
      </c>
      <c r="G35" s="81">
        <f t="shared" si="2"/>
        <v>1.54</v>
      </c>
      <c r="H35" s="81">
        <f t="shared" si="2"/>
        <v>1.86</v>
      </c>
      <c r="I35" s="81">
        <f t="shared" si="2"/>
        <v>1.03</v>
      </c>
      <c r="J35" s="81">
        <f t="shared" si="2"/>
        <v>1.24</v>
      </c>
      <c r="K35" s="81">
        <f t="shared" si="2"/>
        <v>0.78</v>
      </c>
      <c r="L35" s="81">
        <f t="shared" si="2"/>
        <v>0.94</v>
      </c>
      <c r="M35" s="81">
        <f t="shared" si="2"/>
        <v>0.62</v>
      </c>
      <c r="N35" s="81">
        <f t="shared" si="2"/>
        <v>0.75</v>
      </c>
      <c r="O35" s="81">
        <f t="shared" si="2"/>
        <v>0.18</v>
      </c>
      <c r="P35" s="81">
        <f t="shared" si="2"/>
        <v>0.22</v>
      </c>
      <c r="Q35" s="81">
        <f t="shared" si="2"/>
        <v>0.15</v>
      </c>
      <c r="R35" s="81">
        <f t="shared" si="2"/>
        <v>0.18</v>
      </c>
      <c r="V35" s="205"/>
      <c r="X35" s="204"/>
    </row>
    <row r="36" spans="1:24" x14ac:dyDescent="0.3">
      <c r="L36" s="88"/>
      <c r="M36" s="88"/>
      <c r="N36" s="88"/>
      <c r="Q36" s="88"/>
      <c r="X36" s="203"/>
    </row>
    <row r="37" spans="1:24" x14ac:dyDescent="0.3">
      <c r="X37" s="204"/>
    </row>
    <row r="38" spans="1:24" x14ac:dyDescent="0.3">
      <c r="X38" s="203"/>
    </row>
    <row r="39" spans="1:24" x14ac:dyDescent="0.3">
      <c r="X39" s="204"/>
    </row>
    <row r="40" spans="1:24" x14ac:dyDescent="0.3">
      <c r="X40" s="203"/>
    </row>
    <row r="41" spans="1:24" x14ac:dyDescent="0.3">
      <c r="X41" s="204"/>
    </row>
  </sheetData>
  <sheetProtection sheet="1" objects="1" scenarios="1"/>
  <mergeCells count="9">
    <mergeCell ref="K2:N3"/>
    <mergeCell ref="O2:R3"/>
    <mergeCell ref="A33:B33"/>
    <mergeCell ref="A34:B34"/>
    <mergeCell ref="A35:B35"/>
    <mergeCell ref="A2:A5"/>
    <mergeCell ref="B2:B5"/>
    <mergeCell ref="C2:F3"/>
    <mergeCell ref="G2:J3"/>
  </mergeCells>
  <printOptions horizontalCentered="1" verticalCentered="1"/>
  <pageMargins left="0.15748031496062992" right="0.19685039370078741" top="0.17" bottom="0.15748031496062992" header="0.17" footer="0.17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"/>
  <sheetViews>
    <sheetView workbookViewId="0">
      <selection sqref="A1:D1"/>
    </sheetView>
  </sheetViews>
  <sheetFormatPr defaultRowHeight="12.75" x14ac:dyDescent="0.2"/>
  <cols>
    <col min="1" max="1" width="21.5703125" bestFit="1" customWidth="1"/>
    <col min="2" max="2" width="21" customWidth="1"/>
    <col min="3" max="3" width="18.42578125" customWidth="1"/>
    <col min="4" max="4" width="14.7109375" customWidth="1"/>
  </cols>
  <sheetData>
    <row r="1" spans="1:4" ht="20.25" customHeight="1" x14ac:dyDescent="0.2">
      <c r="A1" s="388" t="s">
        <v>349</v>
      </c>
      <c r="B1" s="388"/>
      <c r="C1" s="388"/>
      <c r="D1" s="388"/>
    </row>
    <row r="2" spans="1:4" x14ac:dyDescent="0.2">
      <c r="A2" s="328" t="s">
        <v>267</v>
      </c>
      <c r="B2" s="328" t="s">
        <v>268</v>
      </c>
      <c r="C2" s="335" t="s">
        <v>350</v>
      </c>
      <c r="D2" s="328" t="s">
        <v>351</v>
      </c>
    </row>
    <row r="3" spans="1:4" ht="36" customHeight="1" x14ac:dyDescent="0.2">
      <c r="A3" s="328"/>
      <c r="B3" s="328"/>
      <c r="C3" s="338"/>
      <c r="D3" s="328"/>
    </row>
    <row r="4" spans="1:4" ht="16.5" x14ac:dyDescent="0.2">
      <c r="A4" s="328"/>
      <c r="B4" s="116" t="s">
        <v>26</v>
      </c>
      <c r="C4" s="116" t="s">
        <v>352</v>
      </c>
      <c r="D4" s="116" t="s">
        <v>353</v>
      </c>
    </row>
    <row r="5" spans="1:4" ht="16.5" x14ac:dyDescent="0.2">
      <c r="A5" s="71" t="s">
        <v>28</v>
      </c>
      <c r="B5" s="75">
        <f>AREA_INTERNA_TOTAL</f>
        <v>9600</v>
      </c>
      <c r="C5" s="76">
        <f>PRODUT_AREA_INTERNA</f>
        <v>800</v>
      </c>
      <c r="D5" s="193">
        <f>IFERROR(AREA_INTERNA_TOTAL/PRODUT_AREA_INTERNA,0)</f>
        <v>12</v>
      </c>
    </row>
    <row r="6" spans="1:4" ht="16.5" x14ac:dyDescent="0.2">
      <c r="A6" s="71" t="s">
        <v>30</v>
      </c>
      <c r="B6" s="77">
        <f>AREA_EXTERNA_TOTAL</f>
        <v>3050</v>
      </c>
      <c r="C6" s="29">
        <f>PRODUT_AREA_EXTERNA</f>
        <v>1800</v>
      </c>
      <c r="D6" s="194">
        <f>IFERROR(AREA_EXTERNA_TOTAL/PRODUT_AREA_EXTERNA,0)</f>
        <v>1.7</v>
      </c>
    </row>
    <row r="7" spans="1:4" ht="16.5" x14ac:dyDescent="0.2">
      <c r="A7" s="71" t="s">
        <v>33</v>
      </c>
      <c r="B7" s="75">
        <f>AREA_ESQ_EXTERNA_TOTAL</f>
        <v>1500</v>
      </c>
      <c r="C7" s="76">
        <f>PRODUT_AREA_ESQ_EXTERNA</f>
        <v>300</v>
      </c>
      <c r="D7" s="193">
        <f>IFERROR((AREA_ESQ_EXTERNA_TOTAL*(COEF_KI_ESQ_EXTERNA_ENC+COEF_KI_ESQ_EXTERNA_SERV)),0)</f>
        <v>0.5</v>
      </c>
    </row>
    <row r="8" spans="1:4" ht="16.5" x14ac:dyDescent="0.2">
      <c r="A8" s="71" t="s">
        <v>37</v>
      </c>
      <c r="B8" s="77">
        <f>AREA_FACHADA_ENVID_TOTAL</f>
        <v>1500</v>
      </c>
      <c r="C8" s="29">
        <f>PRODUT_AREA_FACHADA_ENVID</f>
        <v>130</v>
      </c>
      <c r="D8" s="194">
        <f>IFERROR(AREA_FACHADA_ENVID_TOTAL*(COEF_KI_FACHADA_ENVID_ENC+COEF_KI_ESQ_EXTERNA_SERV),0)</f>
        <v>0.4</v>
      </c>
    </row>
    <row r="9" spans="1:4" ht="16.5" x14ac:dyDescent="0.2">
      <c r="A9" s="71" t="s">
        <v>41</v>
      </c>
      <c r="B9" s="75">
        <f>AREA_MED_HOSP_TOTAL</f>
        <v>0</v>
      </c>
      <c r="C9" s="76">
        <f>PRODUT_AREA_HOSPITALAR</f>
        <v>0</v>
      </c>
      <c r="D9" s="193">
        <f>IFERROR(AREA_MED_HOSP_TOTAL/PRODUT_AREA_HOSPITALAR,0)</f>
        <v>0</v>
      </c>
    </row>
    <row r="10" spans="1:4" ht="16.5" x14ac:dyDescent="0.2">
      <c r="A10" s="325" t="s">
        <v>349</v>
      </c>
      <c r="B10" s="326"/>
      <c r="C10" s="327"/>
      <c r="D10" s="122">
        <f>TRUNC(SUM(D5:D9),0)</f>
        <v>14</v>
      </c>
    </row>
  </sheetData>
  <sheetProtection sheet="1" objects="1" scenarios="1"/>
  <mergeCells count="6">
    <mergeCell ref="A1:D1"/>
    <mergeCell ref="D2:D3"/>
    <mergeCell ref="A10:C10"/>
    <mergeCell ref="A2:A4"/>
    <mergeCell ref="B2:B3"/>
    <mergeCell ref="C2:C3"/>
  </mergeCells>
  <printOptions horizontalCentered="1"/>
  <pageMargins left="0.51181102362204722" right="0.51181102362204722" top="0.35433070866141736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topLeftCell="A26" workbookViewId="0">
      <selection activeCell="C9" sqref="C9:E9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9.7109375" style="9" customWidth="1"/>
    <col min="5" max="5" width="12" style="9" customWidth="1"/>
    <col min="6" max="6" width="17" style="9" customWidth="1"/>
    <col min="7" max="16384" width="9.140625" style="6"/>
  </cols>
  <sheetData>
    <row r="1" spans="1:6" s="125" customFormat="1" ht="25.5" x14ac:dyDescent="0.5">
      <c r="B1" s="132" t="s">
        <v>142</v>
      </c>
      <c r="C1" s="6"/>
      <c r="D1" s="6"/>
      <c r="E1" s="6"/>
      <c r="F1" s="6"/>
    </row>
    <row r="2" spans="1:6" x14ac:dyDescent="0.3">
      <c r="B2" s="41" t="s">
        <v>74</v>
      </c>
      <c r="E2" s="7"/>
      <c r="F2" s="7"/>
    </row>
    <row r="3" spans="1:6" ht="33" x14ac:dyDescent="0.3">
      <c r="B3" s="1">
        <v>1</v>
      </c>
      <c r="C3" s="285" t="s">
        <v>75</v>
      </c>
      <c r="D3" s="285"/>
      <c r="E3" s="285"/>
      <c r="F3" s="116" t="s">
        <v>143</v>
      </c>
    </row>
    <row r="4" spans="1:6" x14ac:dyDescent="0.3">
      <c r="B4" s="1" t="s">
        <v>31</v>
      </c>
      <c r="C4" s="222" t="s">
        <v>144</v>
      </c>
      <c r="D4" s="223"/>
      <c r="E4" s="224"/>
      <c r="F4" s="61">
        <v>220</v>
      </c>
    </row>
    <row r="5" spans="1:6" x14ac:dyDescent="0.3">
      <c r="B5" s="1" t="s">
        <v>34</v>
      </c>
      <c r="C5" s="293" t="s">
        <v>145</v>
      </c>
      <c r="D5" s="293"/>
      <c r="E5" s="293"/>
      <c r="F5" s="59">
        <v>7</v>
      </c>
    </row>
    <row r="6" spans="1:6" x14ac:dyDescent="0.3">
      <c r="B6" s="1" t="s">
        <v>38</v>
      </c>
      <c r="C6" s="222" t="s">
        <v>146</v>
      </c>
      <c r="D6" s="223"/>
      <c r="E6" s="224"/>
      <c r="F6" s="61">
        <v>365</v>
      </c>
    </row>
    <row r="7" spans="1:6" x14ac:dyDescent="0.3">
      <c r="B7" s="1" t="s">
        <v>42</v>
      </c>
      <c r="C7" s="293" t="s">
        <v>147</v>
      </c>
      <c r="D7" s="293"/>
      <c r="E7" s="293"/>
      <c r="F7" s="60">
        <v>15.2</v>
      </c>
    </row>
    <row r="8" spans="1:6" x14ac:dyDescent="0.3">
      <c r="B8" s="1" t="s">
        <v>45</v>
      </c>
      <c r="C8" s="222" t="s">
        <v>148</v>
      </c>
      <c r="D8" s="223"/>
      <c r="E8" s="224"/>
      <c r="F8" s="61">
        <v>12</v>
      </c>
    </row>
    <row r="9" spans="1:6" x14ac:dyDescent="0.3">
      <c r="B9" s="1" t="s">
        <v>94</v>
      </c>
      <c r="C9" s="282" t="s">
        <v>149</v>
      </c>
      <c r="D9" s="283"/>
      <c r="E9" s="284"/>
      <c r="F9" s="59">
        <v>6</v>
      </c>
    </row>
    <row r="10" spans="1:6" x14ac:dyDescent="0.3">
      <c r="B10" s="1" t="s">
        <v>150</v>
      </c>
      <c r="C10" s="213" t="s">
        <v>151</v>
      </c>
      <c r="D10" s="213"/>
      <c r="E10" s="213"/>
      <c r="F10" s="61">
        <v>60</v>
      </c>
    </row>
    <row r="11" spans="1:6" x14ac:dyDescent="0.3">
      <c r="B11" s="1" t="s">
        <v>152</v>
      </c>
      <c r="C11" s="282" t="s">
        <v>153</v>
      </c>
      <c r="D11" s="283"/>
      <c r="E11" s="284"/>
      <c r="F11" s="59">
        <v>44</v>
      </c>
    </row>
    <row r="12" spans="1:6" s="133" customFormat="1" x14ac:dyDescent="0.3"/>
    <row r="13" spans="1:6" s="133" customFormat="1" x14ac:dyDescent="0.3">
      <c r="A13" s="6"/>
      <c r="B13" s="41" t="s">
        <v>81</v>
      </c>
      <c r="C13" s="9"/>
      <c r="D13" s="9"/>
      <c r="E13" s="11"/>
      <c r="F13" s="11"/>
    </row>
    <row r="14" spans="1:6" s="133" customFormat="1" x14ac:dyDescent="0.3">
      <c r="A14" s="6"/>
      <c r="B14" s="41" t="s">
        <v>82</v>
      </c>
      <c r="C14" s="125"/>
      <c r="D14" s="125"/>
      <c r="E14" s="125"/>
      <c r="F14" s="125"/>
    </row>
    <row r="15" spans="1:6" s="133" customFormat="1" ht="15" customHeight="1" x14ac:dyDescent="0.3">
      <c r="A15" s="6"/>
      <c r="B15" s="1" t="s">
        <v>83</v>
      </c>
      <c r="C15" s="218" t="s">
        <v>84</v>
      </c>
      <c r="D15" s="219"/>
      <c r="E15" s="116" t="s">
        <v>85</v>
      </c>
      <c r="F15" s="116" t="s">
        <v>154</v>
      </c>
    </row>
    <row r="16" spans="1:6" s="133" customFormat="1" x14ac:dyDescent="0.3">
      <c r="B16" s="68" t="s">
        <v>31</v>
      </c>
      <c r="C16" s="278" t="s">
        <v>155</v>
      </c>
      <c r="D16" s="278"/>
      <c r="E16" s="20" t="s">
        <v>91</v>
      </c>
      <c r="F16" s="63">
        <v>6</v>
      </c>
    </row>
    <row r="17" spans="1:6" s="133" customFormat="1" x14ac:dyDescent="0.3"/>
    <row r="18" spans="1:6" s="125" customFormat="1" x14ac:dyDescent="0.3">
      <c r="A18" s="133"/>
      <c r="B18" s="41" t="s">
        <v>156</v>
      </c>
      <c r="C18" s="5"/>
      <c r="D18" s="12"/>
      <c r="E18" s="10"/>
      <c r="F18" s="10"/>
    </row>
    <row r="19" spans="1:6" s="125" customFormat="1" x14ac:dyDescent="0.3">
      <c r="A19" s="133"/>
      <c r="B19" s="1">
        <v>3</v>
      </c>
      <c r="C19" s="232" t="s">
        <v>157</v>
      </c>
      <c r="D19" s="233"/>
      <c r="E19" s="234"/>
      <c r="F19" s="116" t="s">
        <v>154</v>
      </c>
    </row>
    <row r="20" spans="1:6" s="125" customFormat="1" x14ac:dyDescent="0.3">
      <c r="A20" s="133"/>
      <c r="B20" s="1" t="s">
        <v>31</v>
      </c>
      <c r="C20" s="222" t="s">
        <v>158</v>
      </c>
      <c r="D20" s="223"/>
      <c r="E20" s="224"/>
      <c r="F20" s="46">
        <v>56.24</v>
      </c>
    </row>
    <row r="21" spans="1:6" x14ac:dyDescent="0.3">
      <c r="A21" s="133"/>
      <c r="B21" s="2" t="s">
        <v>34</v>
      </c>
      <c r="C21" s="290" t="s">
        <v>159</v>
      </c>
      <c r="D21" s="291"/>
      <c r="E21" s="292"/>
      <c r="F21" s="27">
        <v>5.55</v>
      </c>
    </row>
    <row r="22" spans="1:6" s="125" customFormat="1" ht="15.95" customHeight="1" x14ac:dyDescent="0.15">
      <c r="B22" s="2" t="s">
        <v>38</v>
      </c>
      <c r="C22" s="222" t="s">
        <v>160</v>
      </c>
      <c r="D22" s="223"/>
      <c r="E22" s="224"/>
      <c r="F22" s="62">
        <v>40</v>
      </c>
    </row>
    <row r="23" spans="1:6" ht="16.5" customHeight="1" x14ac:dyDescent="0.3">
      <c r="A23" s="133"/>
      <c r="B23" s="2" t="s">
        <v>42</v>
      </c>
      <c r="C23" s="290" t="s">
        <v>161</v>
      </c>
      <c r="D23" s="291"/>
      <c r="E23" s="292"/>
      <c r="F23" s="27">
        <v>94.45</v>
      </c>
    </row>
    <row r="24" spans="1:6" x14ac:dyDescent="0.3">
      <c r="A24" s="133"/>
      <c r="B24" s="2" t="s">
        <v>45</v>
      </c>
      <c r="C24" s="222" t="s">
        <v>162</v>
      </c>
      <c r="D24" s="223"/>
      <c r="E24" s="224"/>
      <c r="F24" s="46">
        <v>30</v>
      </c>
    </row>
    <row r="25" spans="1:6" s="133" customFormat="1" x14ac:dyDescent="0.3"/>
    <row r="26" spans="1:6" s="125" customFormat="1" x14ac:dyDescent="0.3">
      <c r="B26" s="41" t="s">
        <v>96</v>
      </c>
      <c r="C26" s="5"/>
      <c r="D26" s="12"/>
      <c r="E26" s="6"/>
      <c r="F26" s="6"/>
    </row>
    <row r="27" spans="1:6" s="125" customFormat="1" ht="15" customHeight="1" x14ac:dyDescent="0.3">
      <c r="B27" s="41" t="s">
        <v>97</v>
      </c>
      <c r="C27" s="5"/>
      <c r="D27" s="12"/>
      <c r="E27" s="10"/>
      <c r="F27" s="10"/>
    </row>
    <row r="28" spans="1:6" s="125" customFormat="1" x14ac:dyDescent="0.15">
      <c r="B28" s="1" t="s">
        <v>98</v>
      </c>
      <c r="C28" s="226" t="s">
        <v>99</v>
      </c>
      <c r="D28" s="227"/>
      <c r="E28" s="228"/>
      <c r="F28" s="116" t="s">
        <v>154</v>
      </c>
    </row>
    <row r="29" spans="1:6" s="125" customFormat="1" x14ac:dyDescent="0.15">
      <c r="B29" s="1" t="s">
        <v>31</v>
      </c>
      <c r="C29" s="222" t="s">
        <v>163</v>
      </c>
      <c r="D29" s="223"/>
      <c r="E29" s="224"/>
      <c r="F29" s="62">
        <v>8</v>
      </c>
    </row>
    <row r="30" spans="1:6" x14ac:dyDescent="0.3">
      <c r="A30" s="125"/>
      <c r="B30" s="2" t="s">
        <v>34</v>
      </c>
      <c r="C30" s="214" t="s">
        <v>164</v>
      </c>
      <c r="D30" s="215"/>
      <c r="E30" s="216"/>
      <c r="F30" s="63">
        <v>20</v>
      </c>
    </row>
    <row r="31" spans="1:6" x14ac:dyDescent="0.3">
      <c r="A31" s="125"/>
      <c r="B31" s="2" t="s">
        <v>38</v>
      </c>
      <c r="C31" s="222" t="s">
        <v>165</v>
      </c>
      <c r="D31" s="223"/>
      <c r="E31" s="224"/>
      <c r="F31" s="46">
        <v>1.42</v>
      </c>
    </row>
    <row r="32" spans="1:6" x14ac:dyDescent="0.3">
      <c r="A32" s="125"/>
      <c r="B32" s="2" t="s">
        <v>42</v>
      </c>
      <c r="C32" s="214" t="s">
        <v>166</v>
      </c>
      <c r="D32" s="215"/>
      <c r="E32" s="216"/>
      <c r="F32" s="27">
        <v>45.22</v>
      </c>
    </row>
    <row r="33" spans="1:6" s="125" customFormat="1" ht="15.95" customHeight="1" x14ac:dyDescent="0.3">
      <c r="A33" s="6"/>
      <c r="B33" s="2" t="s">
        <v>45</v>
      </c>
      <c r="C33" s="222" t="s">
        <v>167</v>
      </c>
      <c r="D33" s="223"/>
      <c r="E33" s="224"/>
      <c r="F33" s="46">
        <f>(154800/34808000)*100</f>
        <v>0.44</v>
      </c>
    </row>
    <row r="34" spans="1:6" ht="15.75" customHeight="1" x14ac:dyDescent="0.3">
      <c r="A34" s="125"/>
      <c r="B34" s="2" t="s">
        <v>94</v>
      </c>
      <c r="C34" s="214" t="s">
        <v>168</v>
      </c>
      <c r="D34" s="215"/>
      <c r="E34" s="216"/>
      <c r="F34" s="63">
        <v>15</v>
      </c>
    </row>
    <row r="35" spans="1:6" ht="15.75" customHeight="1" x14ac:dyDescent="0.3">
      <c r="A35" s="125"/>
      <c r="B35" s="2" t="s">
        <v>150</v>
      </c>
      <c r="C35" s="222" t="s">
        <v>169</v>
      </c>
      <c r="D35" s="223"/>
      <c r="E35" s="224"/>
      <c r="F35" s="62">
        <v>180</v>
      </c>
    </row>
    <row r="36" spans="1:6" x14ac:dyDescent="0.3">
      <c r="A36" s="125"/>
      <c r="B36" s="2" t="s">
        <v>152</v>
      </c>
      <c r="C36" s="214" t="s">
        <v>170</v>
      </c>
      <c r="D36" s="215"/>
      <c r="E36" s="216"/>
      <c r="F36" s="27">
        <v>54.78</v>
      </c>
    </row>
    <row r="37" spans="1:6" s="133" customFormat="1" ht="8.25" customHeight="1" x14ac:dyDescent="0.3"/>
    <row r="38" spans="1:6" x14ac:dyDescent="0.3">
      <c r="B38" s="41" t="s">
        <v>171</v>
      </c>
      <c r="C38" s="5"/>
      <c r="D38" s="12"/>
      <c r="E38" s="10"/>
      <c r="F38" s="10"/>
    </row>
    <row r="39" spans="1:6" x14ac:dyDescent="0.3">
      <c r="B39" s="1" t="s">
        <v>103</v>
      </c>
      <c r="C39" s="212" t="s">
        <v>172</v>
      </c>
      <c r="D39" s="212"/>
      <c r="E39" s="212"/>
      <c r="F39" s="116" t="s">
        <v>173</v>
      </c>
    </row>
    <row r="40" spans="1:6" x14ac:dyDescent="0.3">
      <c r="B40" s="1" t="s">
        <v>31</v>
      </c>
      <c r="C40" s="213" t="s">
        <v>106</v>
      </c>
      <c r="D40" s="213"/>
      <c r="E40" s="213"/>
      <c r="F40" s="61">
        <f>PERC_HORA_EXTRA</f>
        <v>0</v>
      </c>
    </row>
    <row r="41" spans="1:6" ht="15" customHeight="1" x14ac:dyDescent="0.3">
      <c r="B41" s="1" t="s">
        <v>34</v>
      </c>
      <c r="C41" s="214" t="s">
        <v>107</v>
      </c>
      <c r="D41" s="215"/>
      <c r="E41" s="216"/>
      <c r="F41" s="59">
        <f>TEMPO_INTERVALO_REFEICAO</f>
        <v>0</v>
      </c>
    </row>
    <row r="42" spans="1:6" s="133" customFormat="1" x14ac:dyDescent="0.3"/>
    <row r="43" spans="1:6" ht="20.25" x14ac:dyDescent="0.3">
      <c r="B43" s="24" t="s">
        <v>140</v>
      </c>
      <c r="C43" s="25"/>
      <c r="D43" s="25"/>
      <c r="E43" s="25"/>
      <c r="F43" s="26"/>
    </row>
    <row r="44" spans="1:6" ht="33.75" customHeight="1" x14ac:dyDescent="0.3">
      <c r="B44" s="221" t="s">
        <v>141</v>
      </c>
      <c r="C44" s="221"/>
      <c r="D44" s="221"/>
      <c r="E44" s="221"/>
      <c r="F44" s="221"/>
    </row>
  </sheetData>
  <sheetProtection sheet="1" objects="1" scenarios="1"/>
  <mergeCells count="30">
    <mergeCell ref="C11:E11"/>
    <mergeCell ref="C3:E3"/>
    <mergeCell ref="C4:E4"/>
    <mergeCell ref="C5:E5"/>
    <mergeCell ref="C6:E6"/>
    <mergeCell ref="C7:E7"/>
    <mergeCell ref="C8:E8"/>
    <mergeCell ref="C9:E9"/>
    <mergeCell ref="C10:E10"/>
    <mergeCell ref="C19:E19"/>
    <mergeCell ref="C20:E20"/>
    <mergeCell ref="C21:E21"/>
    <mergeCell ref="C15:D15"/>
    <mergeCell ref="C16:D16"/>
    <mergeCell ref="C35:E35"/>
    <mergeCell ref="C22:E22"/>
    <mergeCell ref="C23:E23"/>
    <mergeCell ref="C24:E24"/>
    <mergeCell ref="C28:E28"/>
    <mergeCell ref="C29:E29"/>
    <mergeCell ref="C30:E30"/>
    <mergeCell ref="C31:E31"/>
    <mergeCell ref="C32:E32"/>
    <mergeCell ref="C33:E33"/>
    <mergeCell ref="C34:E34"/>
    <mergeCell ref="B44:F44"/>
    <mergeCell ref="C36:E36"/>
    <mergeCell ref="C39:E39"/>
    <mergeCell ref="C40:E40"/>
    <mergeCell ref="C41:E41"/>
  </mergeCells>
  <dataValidations count="1">
    <dataValidation allowBlank="1" showInputMessage="1" showErrorMessage="1" promptTitle="Intervalo Intrajornada" prompt="Segundo estudos da Audin-MPU, esse item não é usual nas planilhas do MPU. Verifique se realmente há necessidade de incluí-lo." sqref="F40:F41" xr:uid="{00000000-0002-0000-0100-000000000000}"/>
  </dataValidations>
  <pageMargins left="0.511811024" right="0.511811024" top="0.78740157499999996" bottom="0.78740157499999996" header="0.31496062000000002" footer="0.31496062000000002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4"/>
  <sheetViews>
    <sheetView topLeftCell="A17" workbookViewId="0">
      <selection activeCell="E6" sqref="E6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22" style="9" customWidth="1"/>
    <col min="5" max="5" width="13.5703125" style="9" customWidth="1"/>
    <col min="6" max="6" width="38.85546875" style="6" customWidth="1"/>
    <col min="7" max="7" width="50.42578125" style="6" customWidth="1"/>
    <col min="8" max="16384" width="9.140625" style="6"/>
  </cols>
  <sheetData>
    <row r="1" spans="2:7" s="125" customFormat="1" ht="25.5" x14ac:dyDescent="0.5">
      <c r="B1" s="132" t="s">
        <v>174</v>
      </c>
      <c r="C1" s="6"/>
      <c r="D1" s="6"/>
      <c r="E1" s="6"/>
      <c r="F1" s="6"/>
      <c r="G1" s="6"/>
    </row>
    <row r="2" spans="2:7" x14ac:dyDescent="0.3">
      <c r="B2" s="41" t="s">
        <v>81</v>
      </c>
      <c r="E2" s="11"/>
    </row>
    <row r="3" spans="2:7" x14ac:dyDescent="0.3">
      <c r="B3" s="41" t="s">
        <v>175</v>
      </c>
      <c r="C3" s="5"/>
      <c r="D3" s="12"/>
      <c r="E3" s="10"/>
    </row>
    <row r="4" spans="2:7" x14ac:dyDescent="0.3">
      <c r="B4" s="1" t="s">
        <v>176</v>
      </c>
      <c r="C4" s="212" t="s">
        <v>177</v>
      </c>
      <c r="D4" s="212"/>
      <c r="E4" s="116" t="s">
        <v>100</v>
      </c>
      <c r="F4" s="116" t="s">
        <v>178</v>
      </c>
    </row>
    <row r="5" spans="2:7" x14ac:dyDescent="0.3">
      <c r="B5" s="1" t="s">
        <v>31</v>
      </c>
      <c r="C5" s="295" t="s">
        <v>179</v>
      </c>
      <c r="D5" s="295"/>
      <c r="E5" s="47">
        <f>(1/MESES_NO_ANO)*100</f>
        <v>8.33</v>
      </c>
      <c r="F5" s="47" t="s">
        <v>180</v>
      </c>
    </row>
    <row r="6" spans="2:7" x14ac:dyDescent="0.3">
      <c r="B6" s="2" t="s">
        <v>34</v>
      </c>
      <c r="C6" s="294" t="s">
        <v>181</v>
      </c>
      <c r="D6" s="294"/>
      <c r="E6" s="29">
        <f>(1/3)/MESES_NO_ANO*100</f>
        <v>2.78</v>
      </c>
      <c r="F6" s="29" t="s">
        <v>182</v>
      </c>
    </row>
    <row r="7" spans="2:7" s="133" customFormat="1" x14ac:dyDescent="0.3">
      <c r="B7" s="300" t="s">
        <v>183</v>
      </c>
      <c r="C7" s="300"/>
      <c r="D7" s="300"/>
      <c r="E7" s="300"/>
      <c r="F7" s="300"/>
    </row>
    <row r="8" spans="2:7" s="133" customFormat="1" ht="34.5" customHeight="1" x14ac:dyDescent="0.3">
      <c r="B8" s="1" t="s">
        <v>184</v>
      </c>
      <c r="C8" s="299" t="s">
        <v>185</v>
      </c>
      <c r="D8" s="299"/>
      <c r="E8" s="116" t="s">
        <v>100</v>
      </c>
    </row>
    <row r="9" spans="2:7" x14ac:dyDescent="0.3">
      <c r="B9" s="1" t="s">
        <v>31</v>
      </c>
      <c r="C9" s="295" t="s">
        <v>186</v>
      </c>
      <c r="D9" s="295"/>
      <c r="E9" s="47">
        <v>20</v>
      </c>
    </row>
    <row r="10" spans="2:7" s="125" customFormat="1" x14ac:dyDescent="0.15">
      <c r="B10" s="2" t="s">
        <v>34</v>
      </c>
      <c r="C10" s="294" t="s">
        <v>187</v>
      </c>
      <c r="D10" s="294"/>
      <c r="E10" s="36">
        <v>2.5</v>
      </c>
    </row>
    <row r="11" spans="2:7" s="125" customFormat="1" x14ac:dyDescent="0.15">
      <c r="B11" s="2" t="s">
        <v>38</v>
      </c>
      <c r="C11" s="295" t="s">
        <v>188</v>
      </c>
      <c r="D11" s="295"/>
      <c r="E11" s="47">
        <v>3</v>
      </c>
    </row>
    <row r="12" spans="2:7" s="125" customFormat="1" x14ac:dyDescent="0.15">
      <c r="B12" s="2" t="s">
        <v>42</v>
      </c>
      <c r="C12" s="294" t="s">
        <v>189</v>
      </c>
      <c r="D12" s="294"/>
      <c r="E12" s="29">
        <v>1.5</v>
      </c>
    </row>
    <row r="13" spans="2:7" s="125" customFormat="1" x14ac:dyDescent="0.15">
      <c r="B13" s="2" t="s">
        <v>45</v>
      </c>
      <c r="C13" s="295" t="s">
        <v>190</v>
      </c>
      <c r="D13" s="295"/>
      <c r="E13" s="47">
        <v>1</v>
      </c>
    </row>
    <row r="14" spans="2:7" s="125" customFormat="1" x14ac:dyDescent="0.15">
      <c r="B14" s="2" t="s">
        <v>94</v>
      </c>
      <c r="C14" s="294" t="s">
        <v>191</v>
      </c>
      <c r="D14" s="294"/>
      <c r="E14" s="36">
        <v>0.6</v>
      </c>
    </row>
    <row r="15" spans="2:7" s="125" customFormat="1" x14ac:dyDescent="0.15">
      <c r="B15" s="2" t="s">
        <v>150</v>
      </c>
      <c r="C15" s="295" t="s">
        <v>192</v>
      </c>
      <c r="D15" s="295"/>
      <c r="E15" s="47">
        <v>0.2</v>
      </c>
    </row>
    <row r="16" spans="2:7" x14ac:dyDescent="0.3">
      <c r="B16" s="2" t="s">
        <v>152</v>
      </c>
      <c r="C16" s="294" t="s">
        <v>193</v>
      </c>
      <c r="D16" s="294"/>
      <c r="E16" s="36">
        <v>8</v>
      </c>
    </row>
    <row r="17" spans="2:7" x14ac:dyDescent="0.3">
      <c r="B17" s="212" t="s">
        <v>15</v>
      </c>
      <c r="C17" s="212"/>
      <c r="D17" s="212"/>
      <c r="E17" s="30">
        <f>SUM(E9:E16)</f>
        <v>36.799999999999997</v>
      </c>
    </row>
    <row r="18" spans="2:7" s="133" customFormat="1" x14ac:dyDescent="0.3">
      <c r="B18" s="41" t="s">
        <v>156</v>
      </c>
      <c r="C18" s="5"/>
      <c r="D18" s="12"/>
      <c r="E18" s="10"/>
    </row>
    <row r="19" spans="2:7" s="133" customFormat="1" ht="15" customHeight="1" x14ac:dyDescent="0.3">
      <c r="B19" s="1">
        <v>3</v>
      </c>
      <c r="C19" s="212" t="s">
        <v>157</v>
      </c>
      <c r="D19" s="212"/>
      <c r="E19" s="116" t="s">
        <v>100</v>
      </c>
      <c r="F19" s="116" t="s">
        <v>178</v>
      </c>
    </row>
    <row r="20" spans="2:7" s="133" customFormat="1" x14ac:dyDescent="0.3">
      <c r="B20" s="1" t="s">
        <v>31</v>
      </c>
      <c r="C20" s="296" t="s">
        <v>194</v>
      </c>
      <c r="D20" s="296"/>
      <c r="E20" s="47">
        <f>PERC_EMPREG_DEMIT_SEM_JUSTA_CAUSA_TOTAL_DESLIG%*PERC_EMPREG_AVISO_PREVIO_IND%*1/MESES_NO_ANO*100</f>
        <v>0.26</v>
      </c>
      <c r="F20" s="47" t="s">
        <v>195</v>
      </c>
    </row>
    <row r="21" spans="2:7" s="133" customFormat="1" x14ac:dyDescent="0.3">
      <c r="B21" s="2" t="s">
        <v>34</v>
      </c>
      <c r="C21" s="298" t="s">
        <v>196</v>
      </c>
      <c r="D21" s="298"/>
      <c r="E21" s="36">
        <f>PERC_EMPREG_DEMIT_SEM_JUSTA_CAUSA_TOTAL_DESLIG%*PERC_EMPREG_AVISO_PREVIO_TRAB%*(DIAS_NA_SEMANA/DIAS_NO_MES)/MESES_NO_ANO*100</f>
        <v>1.03</v>
      </c>
      <c r="F21" s="29" t="s">
        <v>197</v>
      </c>
    </row>
    <row r="22" spans="2:7" s="125" customFormat="1" ht="16.5" customHeight="1" x14ac:dyDescent="0.15">
      <c r="B22" s="2" t="s">
        <v>38</v>
      </c>
      <c r="C22" s="296" t="s">
        <v>198</v>
      </c>
      <c r="D22" s="296"/>
      <c r="E22" s="47">
        <f>ROUNDUP(PERC_AVISO_PREVIO_TRAB%*(PERC_MULTA_FGTS%)*PERC_FGTS%*100,2)</f>
        <v>0.04</v>
      </c>
      <c r="F22" s="47" t="s">
        <v>199</v>
      </c>
    </row>
    <row r="23" spans="2:7" s="125" customFormat="1" ht="15.95" customHeight="1" x14ac:dyDescent="0.3">
      <c r="B23" s="41" t="s">
        <v>96</v>
      </c>
      <c r="C23" s="5"/>
      <c r="D23" s="12"/>
      <c r="E23" s="6"/>
    </row>
    <row r="24" spans="2:7" s="125" customFormat="1" ht="15.95" customHeight="1" x14ac:dyDescent="0.3">
      <c r="B24" s="41" t="s">
        <v>97</v>
      </c>
      <c r="C24" s="5"/>
      <c r="D24" s="12"/>
      <c r="E24" s="10"/>
    </row>
    <row r="25" spans="2:7" s="125" customFormat="1" x14ac:dyDescent="0.15">
      <c r="B25" s="1" t="s">
        <v>98</v>
      </c>
      <c r="C25" s="297" t="s">
        <v>99</v>
      </c>
      <c r="D25" s="297"/>
      <c r="E25" s="116" t="s">
        <v>100</v>
      </c>
      <c r="F25" s="116" t="s">
        <v>178</v>
      </c>
    </row>
    <row r="26" spans="2:7" s="125" customFormat="1" ht="15.95" customHeight="1" x14ac:dyDescent="0.15">
      <c r="B26" s="2" t="s">
        <v>31</v>
      </c>
      <c r="C26" s="295" t="s">
        <v>200</v>
      </c>
      <c r="D26" s="295"/>
      <c r="E26" s="47">
        <f>(1/MESES_NO_ANO)*100</f>
        <v>8.33</v>
      </c>
      <c r="F26" s="47" t="s">
        <v>201</v>
      </c>
    </row>
    <row r="27" spans="2:7" s="125" customFormat="1" ht="15.95" customHeight="1" x14ac:dyDescent="0.15">
      <c r="B27" s="2" t="s">
        <v>34</v>
      </c>
      <c r="C27" s="124" t="s">
        <v>202</v>
      </c>
      <c r="D27" s="124"/>
      <c r="E27" s="36">
        <f>(DIAS_AUSENCIAS_LEGAIS/DIAS_NO_MES)/MESES_NO_ANO*100</f>
        <v>2.2200000000000002</v>
      </c>
      <c r="F27" s="29" t="s">
        <v>203</v>
      </c>
    </row>
    <row r="28" spans="2:7" s="125" customFormat="1" ht="15.95" customHeight="1" x14ac:dyDescent="0.15">
      <c r="B28" s="2" t="s">
        <v>38</v>
      </c>
      <c r="C28" s="295" t="s">
        <v>204</v>
      </c>
      <c r="D28" s="295"/>
      <c r="E28" s="47">
        <f>(((DIAS_LICENCA_PATERNIDADE/DIAS_NO_MES)/MESES_NO_ANO)*PERC_NASCIDOS_VIVOS_POPUL_FEM%*PERC_PARTIC_MASC_VIGIL%)*100</f>
        <v>0.04</v>
      </c>
      <c r="F28" s="47" t="s">
        <v>205</v>
      </c>
    </row>
    <row r="29" spans="2:7" s="125" customFormat="1" x14ac:dyDescent="0.15">
      <c r="B29" s="2" t="s">
        <v>42</v>
      </c>
      <c r="C29" s="294" t="s">
        <v>206</v>
      </c>
      <c r="D29" s="294"/>
      <c r="E29" s="36">
        <f>(DIAS_PAGOS_EMPRESA_ACID_TRAB/DIAS_NO_MES)/MESES_NO_ANO*PERC_EMPREG_AFAST_TRAB%*100</f>
        <v>0.02</v>
      </c>
      <c r="F29" s="29" t="s">
        <v>207</v>
      </c>
    </row>
    <row r="30" spans="2:7" s="125" customFormat="1" ht="33" x14ac:dyDescent="0.15">
      <c r="B30" s="2" t="s">
        <v>45</v>
      </c>
      <c r="C30" s="295" t="s">
        <v>208</v>
      </c>
      <c r="D30" s="295"/>
      <c r="E30" s="47">
        <f>(((DIAS_LICENCA_MATERNIDADE/DIAS_NO_MES)/MESES_NO_ANO)*PERC_NASCIDOS_VIVOS_POPUL_FEM%*PERC_PARTIC_FEM_VIGIL%*PERC_GPS_FGTS%*100)</f>
        <v>0.14000000000000001</v>
      </c>
      <c r="F30" s="47" t="s">
        <v>209</v>
      </c>
    </row>
    <row r="31" spans="2:7" s="125" customFormat="1" x14ac:dyDescent="0.3">
      <c r="B31" s="2" t="s">
        <v>94</v>
      </c>
      <c r="C31" s="294" t="str">
        <f>OUTRAS_AUSENCIAS_DESCRICAO</f>
        <v>Outras Ausências (Especificar em %)</v>
      </c>
      <c r="D31" s="294"/>
      <c r="E31" s="36">
        <f>PERC_SUBSTITUTO_OUTRAS_AUSENCIAS</f>
        <v>0</v>
      </c>
      <c r="F31" s="29"/>
      <c r="G31" s="6"/>
    </row>
    <row r="32" spans="2:7" x14ac:dyDescent="0.3">
      <c r="G32" s="26"/>
    </row>
    <row r="33" spans="2:7" ht="20.25" x14ac:dyDescent="0.3">
      <c r="B33" s="24" t="s">
        <v>140</v>
      </c>
      <c r="C33" s="25"/>
      <c r="D33" s="25"/>
      <c r="E33" s="25"/>
      <c r="G33" s="149"/>
    </row>
    <row r="34" spans="2:7" ht="43.5" customHeight="1" x14ac:dyDescent="0.3">
      <c r="B34" s="221" t="s">
        <v>210</v>
      </c>
      <c r="C34" s="221"/>
      <c r="D34" s="221"/>
      <c r="E34" s="221"/>
      <c r="F34" s="221"/>
    </row>
  </sheetData>
  <sheetProtection algorithmName="SHA-512" hashValue="pQbrAX7MqZXJiAe3+OjRhiAcEdWUmgk0kQykgRry98BPZ730a1WulhWpoh0+y0jpuTgwTJV94fj8QVfLCJtaXQ==" saltValue="1bdFp+cqrPTKlHQ0YoaBXA==" spinCount="100000" sheet="1" objects="1" scenarios="1"/>
  <mergeCells count="25">
    <mergeCell ref="C15:D15"/>
    <mergeCell ref="C19:D19"/>
    <mergeCell ref="C20:D20"/>
    <mergeCell ref="C10:D10"/>
    <mergeCell ref="C11:D11"/>
    <mergeCell ref="C12:D12"/>
    <mergeCell ref="C13:D13"/>
    <mergeCell ref="C14:D14"/>
    <mergeCell ref="C8:D8"/>
    <mergeCell ref="C9:D9"/>
    <mergeCell ref="C4:D4"/>
    <mergeCell ref="C5:D5"/>
    <mergeCell ref="C6:D6"/>
    <mergeCell ref="B7:F7"/>
    <mergeCell ref="C21:D21"/>
    <mergeCell ref="C16:D16"/>
    <mergeCell ref="B17:D17"/>
    <mergeCell ref="C28:D28"/>
    <mergeCell ref="C31:D31"/>
    <mergeCell ref="B34:F34"/>
    <mergeCell ref="C29:D29"/>
    <mergeCell ref="C30:D30"/>
    <mergeCell ref="C22:D22"/>
    <mergeCell ref="C25:D25"/>
    <mergeCell ref="C26:D26"/>
  </mergeCells>
  <dataValidations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20" xr:uid="{00000000-0002-0000-0200-000000000000}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21" xr:uid="{00000000-0002-0000-0200-000001000000}">
      <formula1>0</formula1>
      <formula2>1.94</formula2>
    </dataValidation>
  </dataValidations>
  <pageMargins left="0.18" right="0.17" top="0.14000000000000001" bottom="0.04" header="0.15" footer="0.01"/>
  <pageSetup paperSize="9" scale="78" orientation="landscape" r:id="rId1"/>
  <ignoredErrors>
    <ignoredError sqref="E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96"/>
  <sheetViews>
    <sheetView topLeftCell="A76" zoomScaleNormal="100" zoomScaleSheetLayoutView="100" workbookViewId="0">
      <selection activeCell="D16" sqref="D16:F16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7.85546875" style="9" customWidth="1"/>
    <col min="5" max="5" width="13.5703125" style="9" customWidth="1"/>
    <col min="6" max="6" width="15.42578125" style="9" bestFit="1" customWidth="1"/>
    <col min="7" max="16384" width="9.140625" style="6"/>
  </cols>
  <sheetData>
    <row r="1" spans="2:6" ht="20.25" x14ac:dyDescent="0.35">
      <c r="B1" s="318" t="str">
        <f>RAMO</f>
        <v>RAMO: ESCOLA SUPERIOR DO MINISTÉRIO PÚBLICO DA UNIÃO</v>
      </c>
      <c r="C1" s="319"/>
      <c r="D1" s="319"/>
      <c r="E1" s="319"/>
      <c r="F1" s="320"/>
    </row>
    <row r="2" spans="2:6" ht="20.25" customHeight="1" x14ac:dyDescent="0.35">
      <c r="B2" s="321" t="str">
        <f>UG</f>
        <v>UNIDADE GESTORA (SIGLA): ESMPU</v>
      </c>
      <c r="C2" s="322"/>
      <c r="D2" s="323"/>
      <c r="E2" s="181" t="s">
        <v>3</v>
      </c>
      <c r="F2" s="182">
        <f>IF(DATA_DO_ORCAMENTO_ESTIMATIVO="","",DATA_DO_ORCAMENTO_ESTIMATIVO)</f>
        <v>45687</v>
      </c>
    </row>
    <row r="3" spans="2:6" s="125" customFormat="1" ht="25.5" customHeight="1" x14ac:dyDescent="0.5">
      <c r="B3" s="271" t="s">
        <v>211</v>
      </c>
      <c r="C3" s="271"/>
      <c r="D3" s="271"/>
      <c r="E3" s="271"/>
      <c r="F3" s="271"/>
    </row>
    <row r="4" spans="2:6" s="125" customFormat="1" ht="15.95" customHeight="1" x14ac:dyDescent="0.3">
      <c r="B4" s="246" t="s">
        <v>7</v>
      </c>
      <c r="C4" s="246"/>
      <c r="D4" s="246"/>
      <c r="E4" s="246"/>
      <c r="F4" s="246"/>
    </row>
    <row r="5" spans="2:6" s="125" customFormat="1" ht="15.95" customHeight="1" x14ac:dyDescent="0.3">
      <c r="B5" s="243" t="s">
        <v>212</v>
      </c>
      <c r="C5" s="243"/>
      <c r="D5" s="324" t="str">
        <f>NUMERO_PROCESSO</f>
        <v>0.01.000.1.003275/2024-64</v>
      </c>
      <c r="E5" s="324"/>
      <c r="F5" s="324"/>
    </row>
    <row r="6" spans="2:6" s="125" customFormat="1" ht="15.75" customHeight="1" x14ac:dyDescent="0.3">
      <c r="B6" s="275" t="s">
        <v>213</v>
      </c>
      <c r="C6" s="275"/>
      <c r="D6" s="316" t="str">
        <f>MODALIDADE_DE_LICITACAO</f>
        <v>Pregão nº</v>
      </c>
      <c r="E6" s="316"/>
      <c r="F6" s="185" t="str">
        <f>NUMERO_PREGAO</f>
        <v>XX/20XX</v>
      </c>
    </row>
    <row r="7" spans="2:6" s="125" customFormat="1" ht="15.75" customHeight="1" x14ac:dyDescent="0.3">
      <c r="B7" s="317" t="s">
        <v>214</v>
      </c>
      <c r="C7" s="317"/>
      <c r="D7" s="317"/>
      <c r="E7" s="317"/>
      <c r="F7" s="317"/>
    </row>
    <row r="8" spans="2:6" s="125" customFormat="1" ht="18" customHeight="1" x14ac:dyDescent="0.3">
      <c r="B8" s="15" t="s">
        <v>31</v>
      </c>
      <c r="C8" s="243" t="s">
        <v>32</v>
      </c>
      <c r="D8" s="243"/>
      <c r="E8" s="243"/>
      <c r="F8" s="183" t="str">
        <f>DATA_APRESENTACAO_PROPOSTA</f>
        <v>XX/XX/20XX</v>
      </c>
    </row>
    <row r="9" spans="2:6" s="125" customFormat="1" ht="15.95" customHeight="1" x14ac:dyDescent="0.15">
      <c r="B9" s="1" t="s">
        <v>34</v>
      </c>
      <c r="C9" s="55" t="s">
        <v>35</v>
      </c>
      <c r="D9" s="314" t="str">
        <f>IF(LOCAL_DE_EXECUCAO="","",LOCAL_DE_EXECUCAO)</f>
        <v>EDIFÍCIO SEDE DA ESMPU</v>
      </c>
      <c r="E9" s="314"/>
      <c r="F9" s="314"/>
    </row>
    <row r="10" spans="2:6" s="125" customFormat="1" ht="18.75" customHeight="1" x14ac:dyDescent="0.3">
      <c r="B10" s="15" t="s">
        <v>38</v>
      </c>
      <c r="C10" s="243" t="s">
        <v>43</v>
      </c>
      <c r="D10" s="243"/>
      <c r="E10" s="243"/>
      <c r="F10" s="184" t="str">
        <f>ACORDO_COLETIVO</f>
        <v>01/2025</v>
      </c>
    </row>
    <row r="11" spans="2:6" s="125" customFormat="1" ht="15.95" customHeight="1" x14ac:dyDescent="0.3">
      <c r="B11" s="1" t="s">
        <v>42</v>
      </c>
      <c r="C11" s="314" t="s">
        <v>46</v>
      </c>
      <c r="D11" s="314"/>
      <c r="E11" s="314"/>
      <c r="F11" s="20">
        <f>NUMERO_MESES_EXEC_CONTRATUAL</f>
        <v>12</v>
      </c>
    </row>
    <row r="12" spans="2:6" s="125" customFormat="1" x14ac:dyDescent="0.3">
      <c r="B12" s="1" t="s">
        <v>45</v>
      </c>
      <c r="C12" s="315" t="s">
        <v>215</v>
      </c>
      <c r="D12" s="315"/>
      <c r="E12" s="315"/>
      <c r="F12" s="53">
        <f>IF(QTDE_DE_ENC=0,"",QTDE_DE_ENC)</f>
        <v>1</v>
      </c>
    </row>
    <row r="13" spans="2:6" s="139" customFormat="1" ht="15" customHeight="1" x14ac:dyDescent="0.2">
      <c r="B13" s="137" t="s">
        <v>73</v>
      </c>
      <c r="C13" s="138"/>
      <c r="D13" s="138"/>
      <c r="E13" s="138"/>
      <c r="F13" s="138"/>
    </row>
    <row r="14" spans="2:6" s="125" customFormat="1" x14ac:dyDescent="0.3">
      <c r="B14" s="15">
        <v>1</v>
      </c>
      <c r="C14" s="217" t="s">
        <v>67</v>
      </c>
      <c r="D14" s="217"/>
      <c r="E14" s="257" t="str">
        <f>TIPO_DE_SERVICO</f>
        <v>Limpeza e Conservação</v>
      </c>
      <c r="F14" s="257"/>
    </row>
    <row r="15" spans="2:6" s="125" customFormat="1" x14ac:dyDescent="0.3">
      <c r="B15" s="15">
        <v>2</v>
      </c>
      <c r="C15" s="17" t="s">
        <v>69</v>
      </c>
      <c r="D15" s="313" t="s">
        <v>216</v>
      </c>
      <c r="E15" s="313"/>
      <c r="F15" s="313"/>
    </row>
    <row r="16" spans="2:6" s="125" customFormat="1" ht="15" customHeight="1" x14ac:dyDescent="0.3">
      <c r="B16" s="15">
        <v>3</v>
      </c>
      <c r="C16" s="44" t="s">
        <v>217</v>
      </c>
      <c r="D16" s="257" t="str">
        <f>CATEGORIA_PROFISSIONAL_ENC</f>
        <v>Encarregado de Limpeza</v>
      </c>
      <c r="E16" s="257"/>
      <c r="F16" s="257"/>
    </row>
    <row r="17" spans="2:6" s="125" customFormat="1" ht="15" customHeight="1" x14ac:dyDescent="0.3">
      <c r="B17" s="15">
        <v>4</v>
      </c>
      <c r="C17" s="311" t="s">
        <v>71</v>
      </c>
      <c r="D17" s="311"/>
      <c r="E17" s="311"/>
      <c r="F17" s="191">
        <f>DATA_BASE_CATEGORIA</f>
        <v>45658</v>
      </c>
    </row>
    <row r="18" spans="2:6" s="140" customFormat="1" ht="20.25" customHeight="1" x14ac:dyDescent="0.3">
      <c r="B18" s="312" t="s">
        <v>218</v>
      </c>
      <c r="C18" s="312"/>
      <c r="D18" s="312"/>
      <c r="E18" s="312"/>
      <c r="F18" s="312"/>
    </row>
    <row r="19" spans="2:6" x14ac:dyDescent="0.3">
      <c r="B19" s="41" t="s">
        <v>74</v>
      </c>
      <c r="E19" s="7"/>
      <c r="F19" s="7"/>
    </row>
    <row r="20" spans="2:6" ht="16.5" customHeight="1" x14ac:dyDescent="0.3">
      <c r="B20" s="1">
        <v>1</v>
      </c>
      <c r="C20" s="285" t="s">
        <v>75</v>
      </c>
      <c r="D20" s="285"/>
      <c r="E20" s="285"/>
      <c r="F20" s="116" t="s">
        <v>110</v>
      </c>
    </row>
    <row r="21" spans="2:6" x14ac:dyDescent="0.3">
      <c r="B21" s="1" t="s">
        <v>31</v>
      </c>
      <c r="C21" s="213" t="s">
        <v>219</v>
      </c>
      <c r="D21" s="213"/>
      <c r="E21" s="213"/>
      <c r="F21" s="45">
        <f>SALARIO_NORMATIVO_ENC</f>
        <v>3383.5</v>
      </c>
    </row>
    <row r="22" spans="2:6" ht="16.5" customHeight="1" x14ac:dyDescent="0.3">
      <c r="B22" s="1" t="s">
        <v>34</v>
      </c>
      <c r="C22" s="214" t="s">
        <v>220</v>
      </c>
      <c r="D22" s="215"/>
      <c r="E22" s="216"/>
      <c r="F22" s="3">
        <f>IF(ADIC_INSALUB_ENC="SIM",PERC_ADIC_INSALUB%*SAL_MINIMO,0)</f>
        <v>0</v>
      </c>
    </row>
    <row r="23" spans="2:6" x14ac:dyDescent="0.3">
      <c r="B23" s="1" t="s">
        <v>38</v>
      </c>
      <c r="C23" s="306" t="str">
        <f>OUTROS_REMUNERACAO_1_DESCRICAO</f>
        <v>Outras Remunerações 1 (Especificar)</v>
      </c>
      <c r="D23" s="307"/>
      <c r="E23" s="308"/>
      <c r="F23" s="45">
        <f>OUTROS_REMUNERACAO_1</f>
        <v>0</v>
      </c>
    </row>
    <row r="24" spans="2:6" x14ac:dyDescent="0.3">
      <c r="B24" s="1" t="s">
        <v>42</v>
      </c>
      <c r="C24" s="282" t="str">
        <f>OUTROS_REMUNERACAO_2_DESCRICAO</f>
        <v>Outras Remunerações 2 (Especificar)</v>
      </c>
      <c r="D24" s="283"/>
      <c r="E24" s="284"/>
      <c r="F24" s="3">
        <f>OUTROS_REMUNERACAO_2</f>
        <v>0</v>
      </c>
    </row>
    <row r="25" spans="2:6" x14ac:dyDescent="0.3">
      <c r="B25" s="1" t="s">
        <v>45</v>
      </c>
      <c r="C25" s="306" t="str">
        <f>OUTROS_REMUNERACAO_3_DESCRICAO</f>
        <v>Outras Remunerações 3 (Especificar)</v>
      </c>
      <c r="D25" s="307"/>
      <c r="E25" s="308"/>
      <c r="F25" s="45">
        <f>OUTROS_REMUNERACAO_3</f>
        <v>0</v>
      </c>
    </row>
    <row r="26" spans="2:6" x14ac:dyDescent="0.3">
      <c r="B26" s="309" t="s">
        <v>15</v>
      </c>
      <c r="C26" s="309"/>
      <c r="D26" s="309"/>
      <c r="E26" s="309"/>
      <c r="F26" s="31">
        <f>IF(QTDE_DE_ENC=0,0,SUM(F21:F25))</f>
        <v>3383.5</v>
      </c>
    </row>
    <row r="27" spans="2:6" x14ac:dyDescent="0.3">
      <c r="B27" s="41" t="s">
        <v>81</v>
      </c>
      <c r="E27" s="11"/>
      <c r="F27" s="11"/>
    </row>
    <row r="28" spans="2:6" x14ac:dyDescent="0.3">
      <c r="B28" s="41" t="s">
        <v>175</v>
      </c>
      <c r="C28" s="5"/>
      <c r="D28" s="12"/>
      <c r="E28" s="10"/>
      <c r="F28" s="10"/>
    </row>
    <row r="29" spans="2:6" x14ac:dyDescent="0.3">
      <c r="B29" s="1" t="s">
        <v>176</v>
      </c>
      <c r="C29" s="212" t="s">
        <v>177</v>
      </c>
      <c r="D29" s="212"/>
      <c r="E29" s="116" t="s">
        <v>100</v>
      </c>
      <c r="F29" s="116" t="s">
        <v>110</v>
      </c>
    </row>
    <row r="30" spans="2:6" x14ac:dyDescent="0.3">
      <c r="B30" s="1" t="s">
        <v>31</v>
      </c>
      <c r="C30" s="295" t="s">
        <v>179</v>
      </c>
      <c r="D30" s="295"/>
      <c r="E30" s="47">
        <f>PERC_DEC_TERC</f>
        <v>8.33</v>
      </c>
      <c r="F30" s="46">
        <f>PERC_DEC_TERC%*MOD_1_REMUNERACAO_ENC</f>
        <v>281.85000000000002</v>
      </c>
    </row>
    <row r="31" spans="2:6" x14ac:dyDescent="0.3">
      <c r="B31" s="2" t="s">
        <v>34</v>
      </c>
      <c r="C31" s="294" t="s">
        <v>181</v>
      </c>
      <c r="D31" s="294"/>
      <c r="E31" s="29">
        <f>PERC_ADIC_FERIAS</f>
        <v>2.78</v>
      </c>
      <c r="F31" s="27">
        <f>PERC_ADIC_FERIAS%*MOD_1_REMUNERACAO_ENC</f>
        <v>94.06</v>
      </c>
    </row>
    <row r="32" spans="2:6" s="133" customFormat="1" x14ac:dyDescent="0.3">
      <c r="B32" s="232" t="s">
        <v>15</v>
      </c>
      <c r="C32" s="233"/>
      <c r="D32" s="233"/>
      <c r="E32" s="234"/>
      <c r="F32" s="32">
        <f>IF(QTDE_DE_ENC=0,0,SUM(F30:F31))</f>
        <v>375.91</v>
      </c>
    </row>
    <row r="33" spans="2:6" s="133" customFormat="1" ht="31.5" customHeight="1" x14ac:dyDescent="0.3">
      <c r="B33" s="310" t="s">
        <v>183</v>
      </c>
      <c r="C33" s="310"/>
      <c r="D33" s="310"/>
      <c r="E33" s="310"/>
      <c r="F33" s="310"/>
    </row>
    <row r="34" spans="2:6" s="133" customFormat="1" ht="34.5" customHeight="1" x14ac:dyDescent="0.3">
      <c r="B34" s="1" t="s">
        <v>184</v>
      </c>
      <c r="C34" s="299" t="s">
        <v>185</v>
      </c>
      <c r="D34" s="299"/>
      <c r="E34" s="116" t="s">
        <v>100</v>
      </c>
      <c r="F34" s="116" t="s">
        <v>110</v>
      </c>
    </row>
    <row r="35" spans="2:6" x14ac:dyDescent="0.3">
      <c r="B35" s="1" t="s">
        <v>31</v>
      </c>
      <c r="C35" s="295" t="s">
        <v>186</v>
      </c>
      <c r="D35" s="295"/>
      <c r="E35" s="47">
        <f>PERC_INSS</f>
        <v>20</v>
      </c>
      <c r="F35" s="46">
        <f>PERC_INSS%*(MOD_1_REMUNERACAO_ENC+SUBMOD_2_1_DEC_TERC_ADIC_FERIAS_ENC)</f>
        <v>751.88</v>
      </c>
    </row>
    <row r="36" spans="2:6" s="125" customFormat="1" x14ac:dyDescent="0.15">
      <c r="B36" s="2" t="s">
        <v>34</v>
      </c>
      <c r="C36" s="294" t="s">
        <v>187</v>
      </c>
      <c r="D36" s="294"/>
      <c r="E36" s="36">
        <f>PERC_SAL_EDUCACAO</f>
        <v>2.5</v>
      </c>
      <c r="F36" s="27">
        <f>PERC_SAL_EDUCACAO%*(MOD_1_REMUNERACAO_ENC+SUBMOD_2_1_DEC_TERC_ADIC_FERIAS_ENC)</f>
        <v>93.99</v>
      </c>
    </row>
    <row r="37" spans="2:6" s="125" customFormat="1" x14ac:dyDescent="0.15">
      <c r="B37" s="2" t="s">
        <v>38</v>
      </c>
      <c r="C37" s="295" t="s">
        <v>221</v>
      </c>
      <c r="D37" s="295"/>
      <c r="E37" s="47">
        <f>PERC_RAT</f>
        <v>3</v>
      </c>
      <c r="F37" s="46">
        <f>PERC_RAT%*(MOD_1_REMUNERACAO_ENC+SUBMOD_2_1_DEC_TERC_ADIC_FERIAS_ENC)</f>
        <v>112.78</v>
      </c>
    </row>
    <row r="38" spans="2:6" s="125" customFormat="1" x14ac:dyDescent="0.15">
      <c r="B38" s="2" t="s">
        <v>42</v>
      </c>
      <c r="C38" s="294" t="s">
        <v>189</v>
      </c>
      <c r="D38" s="294"/>
      <c r="E38" s="29">
        <f>PERC_SESC</f>
        <v>1.5</v>
      </c>
      <c r="F38" s="27">
        <f>PERC_SESC%*(MOD_1_REMUNERACAO_ENC+SUBMOD_2_1_DEC_TERC_ADIC_FERIAS_ENC)</f>
        <v>56.39</v>
      </c>
    </row>
    <row r="39" spans="2:6" s="125" customFormat="1" x14ac:dyDescent="0.15">
      <c r="B39" s="2" t="s">
        <v>45</v>
      </c>
      <c r="C39" s="295" t="s">
        <v>190</v>
      </c>
      <c r="D39" s="295"/>
      <c r="E39" s="47">
        <f>PERC_SENAC</f>
        <v>1</v>
      </c>
      <c r="F39" s="46">
        <f>PERC_SENAC%*(MOD_1_REMUNERACAO_ENC+SUBMOD_2_1_DEC_TERC_ADIC_FERIAS_ENC)</f>
        <v>37.590000000000003</v>
      </c>
    </row>
    <row r="40" spans="2:6" s="125" customFormat="1" x14ac:dyDescent="0.15">
      <c r="B40" s="2" t="s">
        <v>94</v>
      </c>
      <c r="C40" s="294" t="s">
        <v>191</v>
      </c>
      <c r="D40" s="294"/>
      <c r="E40" s="36">
        <f>PERC_SEBRAE</f>
        <v>0.6</v>
      </c>
      <c r="F40" s="27">
        <f>PERC_SEBRAE%*(MOD_1_REMUNERACAO_ENC+SUBMOD_2_1_DEC_TERC_ADIC_FERIAS_ENC)</f>
        <v>22.56</v>
      </c>
    </row>
    <row r="41" spans="2:6" s="125" customFormat="1" x14ac:dyDescent="0.15">
      <c r="B41" s="2" t="s">
        <v>150</v>
      </c>
      <c r="C41" s="295" t="s">
        <v>192</v>
      </c>
      <c r="D41" s="295"/>
      <c r="E41" s="47">
        <f>PERC_INCRA</f>
        <v>0.2</v>
      </c>
      <c r="F41" s="46">
        <f>PERC_INCRA%*(MOD_1_REMUNERACAO_ENC+SUBMOD_2_1_DEC_TERC_ADIC_FERIAS_ENC)</f>
        <v>7.52</v>
      </c>
    </row>
    <row r="42" spans="2:6" x14ac:dyDescent="0.3">
      <c r="B42" s="2" t="s">
        <v>152</v>
      </c>
      <c r="C42" s="294" t="s">
        <v>193</v>
      </c>
      <c r="D42" s="294"/>
      <c r="E42" s="36">
        <f>PERC_FGTS</f>
        <v>8</v>
      </c>
      <c r="F42" s="27">
        <f>PERC_FGTS%*(MOD_1_REMUNERACAO_ENC+SUBMOD_2_1_DEC_TERC_ADIC_FERIAS_ENC)</f>
        <v>300.75</v>
      </c>
    </row>
    <row r="43" spans="2:6" x14ac:dyDescent="0.3">
      <c r="B43" s="232" t="s">
        <v>15</v>
      </c>
      <c r="C43" s="233"/>
      <c r="D43" s="233"/>
      <c r="E43" s="234"/>
      <c r="F43" s="33">
        <f>IF(QTDE_DE_ENC=0,0,SUM(F35:F42))</f>
        <v>1383.46</v>
      </c>
    </row>
    <row r="44" spans="2:6" ht="15.75" customHeight="1" x14ac:dyDescent="0.3">
      <c r="B44" s="41" t="s">
        <v>82</v>
      </c>
      <c r="C44" s="125"/>
      <c r="D44" s="125"/>
      <c r="E44" s="125"/>
      <c r="F44" s="125"/>
    </row>
    <row r="45" spans="2:6" ht="15.75" customHeight="1" x14ac:dyDescent="0.3">
      <c r="B45" s="1" t="s">
        <v>83</v>
      </c>
      <c r="C45" s="285" t="s">
        <v>84</v>
      </c>
      <c r="D45" s="285"/>
      <c r="E45" s="285"/>
      <c r="F45" s="116" t="s">
        <v>110</v>
      </c>
    </row>
    <row r="46" spans="2:6" x14ac:dyDescent="0.3">
      <c r="B46" s="15" t="s">
        <v>31</v>
      </c>
      <c r="C46" s="295" t="s">
        <v>87</v>
      </c>
      <c r="D46" s="295"/>
      <c r="E46" s="295"/>
      <c r="F46" s="46">
        <f>IF(((TRANSPORTE_POR_DIA*DIAS_TRABALHADOS_NO_MES)-(PERC_DESC_TRANSP_REMUNERACAO%*(AL_1_A_SAL_BASE_ENC)))&gt;0,((TRANSPORTE_POR_DIA*DIAS_TRABALHADOS_NO_MES)-(PERC_DESC_TRANSP_REMUNERACAO%*(AL_1_A_SAL_BASE_ENC))),0)</f>
        <v>38.99</v>
      </c>
    </row>
    <row r="47" spans="2:6" s="133" customFormat="1" x14ac:dyDescent="0.3">
      <c r="B47" s="15" t="s">
        <v>34</v>
      </c>
      <c r="C47" s="294" t="s">
        <v>89</v>
      </c>
      <c r="D47" s="294"/>
      <c r="E47" s="294"/>
      <c r="F47" s="27">
        <f>ALIMENTACAO_POR_DIA*DIAS_TRABALHADOS_NO_MES</f>
        <v>974.6</v>
      </c>
    </row>
    <row r="48" spans="2:6" s="133" customFormat="1" x14ac:dyDescent="0.3">
      <c r="B48" s="15" t="s">
        <v>38</v>
      </c>
      <c r="C48" s="306" t="str">
        <f>OUTROS_BENEFICIOS_1_DESCRICAO</f>
        <v>Seguro de Vida e Assistência Funeral</v>
      </c>
      <c r="D48" s="307"/>
      <c r="E48" s="308"/>
      <c r="F48" s="46">
        <f>OUTROS_BENEFICIOS_1</f>
        <v>3.61</v>
      </c>
    </row>
    <row r="49" spans="2:6" s="133" customFormat="1" x14ac:dyDescent="0.3">
      <c r="B49" s="15" t="s">
        <v>42</v>
      </c>
      <c r="C49" s="282" t="str">
        <f>OUTROS_BENEFICIOS_2_DESCRICAO</f>
        <v>Outros Benefícios 2 (Especificar)</v>
      </c>
      <c r="D49" s="283"/>
      <c r="E49" s="284"/>
      <c r="F49" s="27">
        <f>OUTROS_BENEFICIOS_2</f>
        <v>0</v>
      </c>
    </row>
    <row r="50" spans="2:6" s="133" customFormat="1" x14ac:dyDescent="0.3">
      <c r="B50" s="15" t="s">
        <v>45</v>
      </c>
      <c r="C50" s="306" t="str">
        <f>OUTROS_BENEFICIOS_3_DESCRICAO</f>
        <v>Outros Benefícios 3 (Especificar)</v>
      </c>
      <c r="D50" s="307"/>
      <c r="E50" s="308"/>
      <c r="F50" s="46">
        <f>OUTROS_BENEFICIOS_3</f>
        <v>0</v>
      </c>
    </row>
    <row r="51" spans="2:6" s="133" customFormat="1" ht="15" customHeight="1" x14ac:dyDescent="0.3">
      <c r="B51" s="309" t="s">
        <v>15</v>
      </c>
      <c r="C51" s="309"/>
      <c r="D51" s="309"/>
      <c r="E51" s="309"/>
      <c r="F51" s="31">
        <f>IF(QTDE_DE_ENC=0,0,SUM(F46:F50))</f>
        <v>1017.2</v>
      </c>
    </row>
    <row r="52" spans="2:6" s="133" customFormat="1" x14ac:dyDescent="0.3">
      <c r="B52" s="41" t="s">
        <v>156</v>
      </c>
      <c r="C52" s="5"/>
      <c r="D52" s="12"/>
      <c r="E52" s="10"/>
      <c r="F52" s="10"/>
    </row>
    <row r="53" spans="2:6" s="133" customFormat="1" ht="15" customHeight="1" x14ac:dyDescent="0.3">
      <c r="B53" s="1">
        <v>3</v>
      </c>
      <c r="C53" s="212" t="s">
        <v>157</v>
      </c>
      <c r="D53" s="212"/>
      <c r="E53" s="116" t="s">
        <v>100</v>
      </c>
      <c r="F53" s="116" t="s">
        <v>110</v>
      </c>
    </row>
    <row r="54" spans="2:6" s="133" customFormat="1" x14ac:dyDescent="0.3">
      <c r="B54" s="1" t="s">
        <v>31</v>
      </c>
      <c r="C54" s="296" t="s">
        <v>194</v>
      </c>
      <c r="D54" s="296"/>
      <c r="E54" s="47">
        <f>PERC_AVISO_PREVIO_IND</f>
        <v>0.26</v>
      </c>
      <c r="F54" s="46">
        <f>PERC_AVISO_PREVIO_IND%*(MOD_1_REMUNERACAO_ENC+SUBMOD_2_1_DEC_TERC_ADIC_FERIAS_ENC+AL_2_2_FGTS_ENC+SUBMOD_2_3_BENEFICIOS_ENC)</f>
        <v>13.2</v>
      </c>
    </row>
    <row r="55" spans="2:6" s="133" customFormat="1" x14ac:dyDescent="0.3">
      <c r="B55" s="2" t="s">
        <v>34</v>
      </c>
      <c r="C55" s="298" t="s">
        <v>196</v>
      </c>
      <c r="D55" s="298"/>
      <c r="E55" s="36">
        <f>PERC_AVISO_PREVIO_TRAB</f>
        <v>1.03</v>
      </c>
      <c r="F55" s="27">
        <f>PERC_AVISO_PREVIO_TRAB%*(MOD_1_REMUNERACAO_ENC+SUBMOD_2_1_DEC_TERC_ADIC_FERIAS_ENC+SUBMOD_2_2_GPS_FGTS_ENC+SUBMOD_2_3_BENEFICIOS_ENC)</f>
        <v>63.45</v>
      </c>
    </row>
    <row r="56" spans="2:6" s="125" customFormat="1" x14ac:dyDescent="0.15">
      <c r="B56" s="2" t="s">
        <v>38</v>
      </c>
      <c r="C56" s="296" t="s">
        <v>198</v>
      </c>
      <c r="D56" s="296"/>
      <c r="E56" s="47">
        <f>PERC_MULTA_FGTS_AV_PREV_TRAB</f>
        <v>0.04</v>
      </c>
      <c r="F56" s="46">
        <f>PERC_MULTA_FGTS_AV_PREV_TRAB%*(MOD_1_REMUNERACAO_ENC+SUBMOD_2_1_DEC_TERC_ADIC_FERIAS_ENC)</f>
        <v>1.5</v>
      </c>
    </row>
    <row r="57" spans="2:6" s="125" customFormat="1" x14ac:dyDescent="0.3">
      <c r="B57" s="232" t="s">
        <v>15</v>
      </c>
      <c r="C57" s="233"/>
      <c r="D57" s="233"/>
      <c r="E57" s="234"/>
      <c r="F57" s="32">
        <f>IF(QTDE_DE_ENC=0,0,SUM(F54:F56))</f>
        <v>78.150000000000006</v>
      </c>
    </row>
    <row r="58" spans="2:6" s="125" customFormat="1" ht="15.95" customHeight="1" x14ac:dyDescent="0.3">
      <c r="B58" s="41" t="s">
        <v>96</v>
      </c>
      <c r="C58" s="5"/>
      <c r="D58" s="12"/>
      <c r="E58" s="6"/>
      <c r="F58" s="6"/>
    </row>
    <row r="59" spans="2:6" s="125" customFormat="1" ht="15.95" customHeight="1" x14ac:dyDescent="0.3">
      <c r="B59" s="41" t="s">
        <v>97</v>
      </c>
      <c r="C59" s="5"/>
      <c r="D59" s="12"/>
      <c r="E59" s="10"/>
      <c r="F59" s="10"/>
    </row>
    <row r="60" spans="2:6" s="125" customFormat="1" x14ac:dyDescent="0.15">
      <c r="B60" s="1" t="s">
        <v>98</v>
      </c>
      <c r="C60" s="297" t="s">
        <v>99</v>
      </c>
      <c r="D60" s="297"/>
      <c r="E60" s="116" t="s">
        <v>100</v>
      </c>
      <c r="F60" s="116" t="s">
        <v>110</v>
      </c>
    </row>
    <row r="61" spans="2:6" s="125" customFormat="1" ht="15.95" customHeight="1" x14ac:dyDescent="0.15">
      <c r="B61" s="2" t="s">
        <v>31</v>
      </c>
      <c r="C61" s="295" t="s">
        <v>200</v>
      </c>
      <c r="D61" s="295"/>
      <c r="E61" s="47">
        <f>PERC_SUBSTITUTO_FERIAS</f>
        <v>8.33</v>
      </c>
      <c r="F61" s="46">
        <f>PERC_SUBSTITUTO_FERIAS%*(MOD_1_REMUNERACAO_ENC+MOD_2_ENCARGOS_BENEFICIOS_ENC+MOD_3_PROVISAO_RESCISAO_ENC)</f>
        <v>519.64</v>
      </c>
    </row>
    <row r="62" spans="2:6" s="125" customFormat="1" ht="15.95" customHeight="1" x14ac:dyDescent="0.15">
      <c r="B62" s="2" t="s">
        <v>34</v>
      </c>
      <c r="C62" s="294" t="s">
        <v>202</v>
      </c>
      <c r="D62" s="294"/>
      <c r="E62" s="36">
        <f>PERC_SUBSTITUTO_AUSENCIAS_LEGAIS</f>
        <v>2.2200000000000002</v>
      </c>
      <c r="F62" s="27">
        <f>PERC_SUBSTITUTO_AUSENCIAS_LEGAIS%*(MOD_1_REMUNERACAO_ENC+MOD_2_ENCARGOS_BENEFICIOS_ENC+MOD_3_PROVISAO_RESCISAO_ENC)</f>
        <v>138.49</v>
      </c>
    </row>
    <row r="63" spans="2:6" s="125" customFormat="1" ht="15.95" customHeight="1" x14ac:dyDescent="0.15">
      <c r="B63" s="2" t="s">
        <v>38</v>
      </c>
      <c r="C63" s="295" t="s">
        <v>204</v>
      </c>
      <c r="D63" s="295"/>
      <c r="E63" s="47">
        <f>PERC_SUBSTITUTO_LICENCA_PATERNIDADE</f>
        <v>0.04</v>
      </c>
      <c r="F63" s="46">
        <f>PERC_SUBSTITUTO_LICENCA_PATERNIDADE%*(MOD_1_REMUNERACAO_ENC+MOD_2_ENCARGOS_BENEFICIOS_ENC+MOD_3_PROVISAO_RESCISAO_ENC)</f>
        <v>2.5</v>
      </c>
    </row>
    <row r="64" spans="2:6" s="125" customFormat="1" x14ac:dyDescent="0.15">
      <c r="B64" s="2" t="s">
        <v>42</v>
      </c>
      <c r="C64" s="294" t="s">
        <v>206</v>
      </c>
      <c r="D64" s="294"/>
      <c r="E64" s="36">
        <f>PERC_SUBSTITUTO_ACID_TRAB</f>
        <v>0.02</v>
      </c>
      <c r="F64" s="27">
        <f>PERC_SUBSTITUTO_ACID_TRAB%*(MOD_1_REMUNERACAO_ENC+MOD_2_ENCARGOS_BENEFICIOS_ENC+MOD_3_PROVISAO_RESCISAO_ENC)</f>
        <v>1.25</v>
      </c>
    </row>
    <row r="65" spans="2:6" s="125" customFormat="1" x14ac:dyDescent="0.15">
      <c r="B65" s="2" t="s">
        <v>45</v>
      </c>
      <c r="C65" s="295" t="s">
        <v>208</v>
      </c>
      <c r="D65" s="295"/>
      <c r="E65" s="47">
        <f>PERC_SUBSTITUTO_AFAST_MATERN</f>
        <v>0.14000000000000001</v>
      </c>
      <c r="F65" s="46">
        <f>PERC_SUBSTITUTO_AFAST_MATERN%*(MOD_1_REMUNERACAO_ENC+MOD_2_ENCARGOS_BENEFICIOS_ENC+MOD_3_PROVISAO_RESCISAO_ENC)</f>
        <v>8.73</v>
      </c>
    </row>
    <row r="66" spans="2:6" s="125" customFormat="1" x14ac:dyDescent="0.15">
      <c r="B66" s="2" t="s">
        <v>94</v>
      </c>
      <c r="C66" s="304" t="str">
        <f>OUTRAS_AUSENCIAS_DESCRICAO</f>
        <v>Outras Ausências (Especificar em %)</v>
      </c>
      <c r="D66" s="294"/>
      <c r="E66" s="43">
        <f>PERC_SUBSTITUTO_OUTRAS_AUSENCIAS</f>
        <v>0</v>
      </c>
      <c r="F66" s="27">
        <f>PERC_SUBSTITUTO_OUTRAS_AUSENCIAS%*(MOD_1_REMUNERACAO_ENC+MOD_2_ENCARGOS_BENEFICIOS_ENC+MOD_3_PROVISAO_RESCISAO_ENC)</f>
        <v>0</v>
      </c>
    </row>
    <row r="67" spans="2:6" s="125" customFormat="1" x14ac:dyDescent="0.3">
      <c r="B67" s="232" t="s">
        <v>15</v>
      </c>
      <c r="C67" s="233"/>
      <c r="D67" s="233"/>
      <c r="E67" s="234"/>
      <c r="F67" s="32">
        <f>IF(QTDE_DE_ENC=0,0,SUM(F61:F66))</f>
        <v>670.61</v>
      </c>
    </row>
    <row r="68" spans="2:6" s="125" customFormat="1" ht="15" customHeight="1" x14ac:dyDescent="0.3">
      <c r="B68" s="41" t="s">
        <v>102</v>
      </c>
      <c r="C68" s="5"/>
      <c r="D68" s="12"/>
      <c r="E68" s="10"/>
      <c r="F68" s="10"/>
    </row>
    <row r="69" spans="2:6" s="125" customFormat="1" x14ac:dyDescent="0.15">
      <c r="B69" s="1" t="s">
        <v>103</v>
      </c>
      <c r="C69" s="212" t="s">
        <v>104</v>
      </c>
      <c r="D69" s="212"/>
      <c r="E69" s="212"/>
      <c r="F69" s="116" t="s">
        <v>110</v>
      </c>
    </row>
    <row r="70" spans="2:6" s="125" customFormat="1" x14ac:dyDescent="0.15">
      <c r="B70" s="1" t="s">
        <v>31</v>
      </c>
      <c r="C70" s="295" t="s">
        <v>222</v>
      </c>
      <c r="D70" s="295"/>
      <c r="E70" s="295"/>
      <c r="F70" s="45">
        <f>IF(DIAS_TRABALHADOS_NO_MES=15,((MOD_1_REMUNERACAO_ENC+MOD_2_ENCARGOS_BENEFICIOS_ENC+MOD_3_PROVISAO_RESCISAO_ENC)/DIVISOR_DE_HORAS)*((TEMPO_INTERVALO_REFEICAO/HORA_NORMAL)+PERC_HORA_EXTRA%)*DIAS_TRABALHADOS_NO_MES,0)</f>
        <v>0</v>
      </c>
    </row>
    <row r="71" spans="2:6" s="125" customFormat="1" x14ac:dyDescent="0.3">
      <c r="B71" s="212" t="s">
        <v>15</v>
      </c>
      <c r="C71" s="212"/>
      <c r="D71" s="212"/>
      <c r="E71" s="212"/>
      <c r="F71" s="32">
        <f>IF(QTDE_DE_ENC=0,0,SUM(F70))</f>
        <v>0</v>
      </c>
    </row>
    <row r="72" spans="2:6" x14ac:dyDescent="0.3">
      <c r="B72" s="41" t="s">
        <v>108</v>
      </c>
      <c r="C72" s="5"/>
      <c r="D72" s="5"/>
      <c r="E72" s="10"/>
      <c r="F72" s="10"/>
    </row>
    <row r="73" spans="2:6" ht="15.75" customHeight="1" x14ac:dyDescent="0.3">
      <c r="B73" s="39">
        <v>5</v>
      </c>
      <c r="C73" s="235" t="s">
        <v>109</v>
      </c>
      <c r="D73" s="235"/>
      <c r="E73" s="235"/>
      <c r="F73" s="40" t="s">
        <v>110</v>
      </c>
    </row>
    <row r="74" spans="2:6" x14ac:dyDescent="0.3">
      <c r="B74" s="35" t="s">
        <v>31</v>
      </c>
      <c r="C74" s="209" t="s">
        <v>223</v>
      </c>
      <c r="D74" s="209"/>
      <c r="E74" s="209"/>
      <c r="F74" s="48">
        <f>UNIFORMES</f>
        <v>180.12</v>
      </c>
    </row>
    <row r="75" spans="2:6" x14ac:dyDescent="0.3">
      <c r="B75" s="35" t="s">
        <v>34</v>
      </c>
      <c r="C75" s="211" t="s">
        <v>224</v>
      </c>
      <c r="D75" s="211"/>
      <c r="E75" s="211"/>
      <c r="F75" s="37">
        <f>MATERIAIS</f>
        <v>0</v>
      </c>
    </row>
    <row r="76" spans="2:6" x14ac:dyDescent="0.3">
      <c r="B76" s="35" t="s">
        <v>38</v>
      </c>
      <c r="C76" s="209" t="s">
        <v>225</v>
      </c>
      <c r="D76" s="209"/>
      <c r="E76" s="209"/>
      <c r="F76" s="48">
        <f>EQUIPAMENTOS</f>
        <v>46.41</v>
      </c>
    </row>
    <row r="77" spans="2:6" x14ac:dyDescent="0.3">
      <c r="B77" s="35" t="s">
        <v>42</v>
      </c>
      <c r="C77" s="305" t="str">
        <f>OUTROS_INSUMOS_DESCRICAO</f>
        <v>Outros Insumos (Especificar)</v>
      </c>
      <c r="D77" s="211"/>
      <c r="E77" s="211"/>
      <c r="F77" s="37">
        <f>OUTROS_INSUMOS</f>
        <v>0</v>
      </c>
    </row>
    <row r="78" spans="2:6" x14ac:dyDescent="0.3">
      <c r="B78" s="303" t="s">
        <v>15</v>
      </c>
      <c r="C78" s="303"/>
      <c r="D78" s="303"/>
      <c r="E78" s="303"/>
      <c r="F78" s="34">
        <f>IF(QTDE_DE_ENC=0,0,SUM(F74:F77))</f>
        <v>226.53</v>
      </c>
    </row>
    <row r="79" spans="2:6" ht="15" customHeight="1" x14ac:dyDescent="0.3">
      <c r="B79" s="225" t="s">
        <v>130</v>
      </c>
      <c r="C79" s="225"/>
      <c r="D79" s="225"/>
      <c r="E79" s="225"/>
      <c r="F79" s="225"/>
    </row>
    <row r="80" spans="2:6" x14ac:dyDescent="0.3">
      <c r="B80" s="1">
        <v>6</v>
      </c>
      <c r="C80" s="212" t="s">
        <v>131</v>
      </c>
      <c r="D80" s="212"/>
      <c r="E80" s="116" t="s">
        <v>100</v>
      </c>
      <c r="F80" s="116" t="s">
        <v>110</v>
      </c>
    </row>
    <row r="81" spans="2:6" x14ac:dyDescent="0.3">
      <c r="B81" s="1" t="s">
        <v>31</v>
      </c>
      <c r="C81" s="295" t="s">
        <v>132</v>
      </c>
      <c r="D81" s="295"/>
      <c r="E81" s="49">
        <f>PERC_CUSTOS_INDIRETOS</f>
        <v>4.7300000000000004</v>
      </c>
      <c r="F81" s="46">
        <f>PERC_CUSTOS_INDIRETOS%*(MOD_1_REMUNERACAO_ENC+MOD_2_ENCARGOS_BENEFICIOS_ENC+MOD_3_PROVISAO_RESCISAO_ENC+MOD_4_CUSTO_REPOSICAO_ENC+MOD_5_INSUMOS_ENC)</f>
        <v>337.5</v>
      </c>
    </row>
    <row r="82" spans="2:6" ht="15.75" customHeight="1" x14ac:dyDescent="0.3">
      <c r="B82" s="2" t="s">
        <v>34</v>
      </c>
      <c r="C82" s="294" t="s">
        <v>133</v>
      </c>
      <c r="D82" s="294"/>
      <c r="E82" s="38">
        <f>PERC_LUCRO</f>
        <v>5.57</v>
      </c>
      <c r="F82" s="27">
        <f>PERC_LUCRO%*(MOD_1_REMUNERACAO_ENC+MOD_2_ENCARGOS_BENEFICIOS_ENC+MOD_3_PROVISAO_RESCISAO_ENC+MOD_4_CUSTO_REPOSICAO_ENC+MOD_5_INSUMOS_ENC+AL_6_A_CUSTOS_INDIRETOS_ENC)</f>
        <v>416.24</v>
      </c>
    </row>
    <row r="83" spans="2:6" x14ac:dyDescent="0.3">
      <c r="B83" s="2" t="s">
        <v>38</v>
      </c>
      <c r="C83" s="295" t="s">
        <v>226</v>
      </c>
      <c r="D83" s="295"/>
      <c r="E83" s="49">
        <f>SUM(E84:E86)</f>
        <v>8.65</v>
      </c>
      <c r="F83" s="46">
        <f>SUM(F84:F86)</f>
        <v>747.02</v>
      </c>
    </row>
    <row r="84" spans="2:6" ht="15.75" customHeight="1" x14ac:dyDescent="0.3">
      <c r="B84" s="21" t="s">
        <v>134</v>
      </c>
      <c r="C84" s="301" t="s">
        <v>135</v>
      </c>
      <c r="D84" s="301"/>
      <c r="E84" s="22">
        <f>PERC_PIS</f>
        <v>0.65</v>
      </c>
      <c r="F84" s="51">
        <f>((MOD_1_REMUNERACAO_ENC+MOD_2_ENCARGOS_BENEFICIOS_ENC+MOD_3_PROVISAO_RESCISAO_ENC+MOD_4_CUSTO_REPOSICAO_ENC+MOD_5_INSUMOS_ENC+AL_6_A_CUSTOS_INDIRETOS_ENC+AL_6_B_LUCRO_ENC)*PERC_PIS%)/(1-PERC_TRIBUTOS%)</f>
        <v>56.13</v>
      </c>
    </row>
    <row r="85" spans="2:6" x14ac:dyDescent="0.3">
      <c r="B85" s="21" t="s">
        <v>136</v>
      </c>
      <c r="C85" s="302" t="s">
        <v>137</v>
      </c>
      <c r="D85" s="302"/>
      <c r="E85" s="50">
        <f>PERC_COFINS</f>
        <v>3</v>
      </c>
      <c r="F85" s="52">
        <f>((MOD_1_REMUNERACAO_ENC+MOD_2_ENCARGOS_BENEFICIOS_ENC+MOD_3_PROVISAO_RESCISAO_ENC+MOD_4_CUSTO_REPOSICAO_ENC+MOD_5_INSUMOS_ENC+AL_6_A_CUSTOS_INDIRETOS_ENC+AL_6_B_LUCRO_ENC)*PERC_COFINS%)/(1-PERC_TRIBUTOS%)</f>
        <v>259.08</v>
      </c>
    </row>
    <row r="86" spans="2:6" s="134" customFormat="1" x14ac:dyDescent="0.3">
      <c r="B86" s="21" t="s">
        <v>138</v>
      </c>
      <c r="C86" s="301" t="s">
        <v>139</v>
      </c>
      <c r="D86" s="301"/>
      <c r="E86" s="22">
        <f>PERC_ISS</f>
        <v>5</v>
      </c>
      <c r="F86" s="51">
        <f>((MOD_1_REMUNERACAO_ENC+MOD_2_ENCARGOS_BENEFICIOS_ENC+MOD_3_PROVISAO_RESCISAO_ENC+MOD_4_CUSTO_REPOSICAO_ENC+MOD_5_INSUMOS_ENC+AL_6_A_CUSTOS_INDIRETOS_ENC+AL_6_B_LUCRO_ENC)*PERC_ISS%)/(1-PERC_TRIBUTOS%)</f>
        <v>431.81</v>
      </c>
    </row>
    <row r="87" spans="2:6" s="134" customFormat="1" x14ac:dyDescent="0.3">
      <c r="B87" s="232" t="s">
        <v>15</v>
      </c>
      <c r="C87" s="233"/>
      <c r="D87" s="233"/>
      <c r="E87" s="234"/>
      <c r="F87" s="28">
        <f>IF(QTDE_DE_ENC=0,0,AL_6_A_CUSTOS_INDIRETOS_ENC+AL_6_B_LUCRO_ENC+AL_6_C_TRIBUTOS_ENC)</f>
        <v>1500.76</v>
      </c>
    </row>
    <row r="88" spans="2:6" s="134" customFormat="1" ht="20.25" x14ac:dyDescent="0.3">
      <c r="B88" s="42" t="s">
        <v>227</v>
      </c>
      <c r="C88" s="8"/>
      <c r="D88" s="8"/>
      <c r="E88" s="8"/>
      <c r="F88" s="13"/>
    </row>
    <row r="89" spans="2:6" s="135" customFormat="1" ht="16.5" customHeight="1" x14ac:dyDescent="0.3">
      <c r="B89" s="2" t="s">
        <v>228</v>
      </c>
      <c r="C89" s="226" t="s">
        <v>229</v>
      </c>
      <c r="D89" s="227"/>
      <c r="E89" s="228"/>
      <c r="F89" s="116" t="s">
        <v>230</v>
      </c>
    </row>
    <row r="90" spans="2:6" s="134" customFormat="1" x14ac:dyDescent="0.3">
      <c r="B90" s="1">
        <v>1</v>
      </c>
      <c r="C90" s="295" t="s">
        <v>75</v>
      </c>
      <c r="D90" s="295"/>
      <c r="E90" s="295"/>
      <c r="F90" s="46">
        <f>MOD_1_REMUNERACAO_ENC</f>
        <v>3383.5</v>
      </c>
    </row>
    <row r="91" spans="2:6" s="136" customFormat="1" ht="16.5" customHeight="1" x14ac:dyDescent="0.3">
      <c r="B91" s="2">
        <v>2</v>
      </c>
      <c r="C91" s="294" t="s">
        <v>231</v>
      </c>
      <c r="D91" s="294"/>
      <c r="E91" s="294"/>
      <c r="F91" s="27">
        <f>MOD_2_ENCARGOS_BENEFICIOS_ENC</f>
        <v>2776.57</v>
      </c>
    </row>
    <row r="92" spans="2:6" s="136" customFormat="1" x14ac:dyDescent="0.3">
      <c r="B92" s="2">
        <v>3</v>
      </c>
      <c r="C92" s="295" t="s">
        <v>157</v>
      </c>
      <c r="D92" s="295"/>
      <c r="E92" s="295"/>
      <c r="F92" s="46">
        <f>MOD_3_PROVISAO_RESCISAO_ENC</f>
        <v>78.150000000000006</v>
      </c>
    </row>
    <row r="93" spans="2:6" s="136" customFormat="1" x14ac:dyDescent="0.3">
      <c r="B93" s="2">
        <v>4</v>
      </c>
      <c r="C93" s="294" t="s">
        <v>232</v>
      </c>
      <c r="D93" s="294"/>
      <c r="E93" s="294"/>
      <c r="F93" s="27">
        <f>MOD_4_CUSTO_REPOSICAO_ENC</f>
        <v>670.61</v>
      </c>
    </row>
    <row r="94" spans="2:6" s="136" customFormat="1" x14ac:dyDescent="0.3">
      <c r="B94" s="2">
        <v>5</v>
      </c>
      <c r="C94" s="295" t="s">
        <v>109</v>
      </c>
      <c r="D94" s="295"/>
      <c r="E94" s="295"/>
      <c r="F94" s="46">
        <f>MOD_5_INSUMOS_ENC</f>
        <v>226.53</v>
      </c>
    </row>
    <row r="95" spans="2:6" s="136" customFormat="1" x14ac:dyDescent="0.3">
      <c r="B95" s="2">
        <v>6</v>
      </c>
      <c r="C95" s="294" t="s">
        <v>131</v>
      </c>
      <c r="D95" s="294"/>
      <c r="E95" s="294"/>
      <c r="F95" s="27">
        <f>MOD_6_CUSTOS_IND_LUCRO_TRIB_ENC</f>
        <v>1500.76</v>
      </c>
    </row>
    <row r="96" spans="2:6" ht="16.5" customHeight="1" x14ac:dyDescent="0.3">
      <c r="B96" s="297" t="s">
        <v>233</v>
      </c>
      <c r="C96" s="297"/>
      <c r="D96" s="297"/>
      <c r="E96" s="297"/>
      <c r="F96" s="28">
        <f>IF(QTDE_DE_ENC=0,0,SUM(F90:F95))</f>
        <v>8636.1200000000008</v>
      </c>
    </row>
  </sheetData>
  <mergeCells count="88">
    <mergeCell ref="B6:C6"/>
    <mergeCell ref="D6:E6"/>
    <mergeCell ref="B7:F7"/>
    <mergeCell ref="B1:F1"/>
    <mergeCell ref="B2:D2"/>
    <mergeCell ref="B3:F3"/>
    <mergeCell ref="B4:F4"/>
    <mergeCell ref="B5:C5"/>
    <mergeCell ref="D5:F5"/>
    <mergeCell ref="C8:E8"/>
    <mergeCell ref="D9:F9"/>
    <mergeCell ref="C10:E10"/>
    <mergeCell ref="C11:E11"/>
    <mergeCell ref="C12:E12"/>
    <mergeCell ref="D16:F16"/>
    <mergeCell ref="C17:E17"/>
    <mergeCell ref="B18:F18"/>
    <mergeCell ref="C14:D14"/>
    <mergeCell ref="E14:F14"/>
    <mergeCell ref="D15:F15"/>
    <mergeCell ref="C22:E22"/>
    <mergeCell ref="C23:E23"/>
    <mergeCell ref="C24:E24"/>
    <mergeCell ref="C25:E25"/>
    <mergeCell ref="C20:E20"/>
    <mergeCell ref="C21:E21"/>
    <mergeCell ref="C39:D39"/>
    <mergeCell ref="B26:E26"/>
    <mergeCell ref="C29:D29"/>
    <mergeCell ref="C30:D30"/>
    <mergeCell ref="C31:D31"/>
    <mergeCell ref="B32:E32"/>
    <mergeCell ref="B33:F33"/>
    <mergeCell ref="C34:D34"/>
    <mergeCell ref="C35:D35"/>
    <mergeCell ref="C36:D36"/>
    <mergeCell ref="C37:D37"/>
    <mergeCell ref="C38:D38"/>
    <mergeCell ref="C53:D53"/>
    <mergeCell ref="C40:D40"/>
    <mergeCell ref="C41:D41"/>
    <mergeCell ref="C42:D42"/>
    <mergeCell ref="B43:E43"/>
    <mergeCell ref="C45:E45"/>
    <mergeCell ref="C46:E46"/>
    <mergeCell ref="C47:E47"/>
    <mergeCell ref="C48:E48"/>
    <mergeCell ref="C49:E49"/>
    <mergeCell ref="C50:E50"/>
    <mergeCell ref="B51:E51"/>
    <mergeCell ref="C64:D64"/>
    <mergeCell ref="C54:D54"/>
    <mergeCell ref="C55:D55"/>
    <mergeCell ref="C56:D56"/>
    <mergeCell ref="B57:E57"/>
    <mergeCell ref="C60:D60"/>
    <mergeCell ref="C61:D61"/>
    <mergeCell ref="C62:D62"/>
    <mergeCell ref="C63:D63"/>
    <mergeCell ref="B78:E78"/>
    <mergeCell ref="C65:D65"/>
    <mergeCell ref="C66:D66"/>
    <mergeCell ref="B67:E67"/>
    <mergeCell ref="C69:E69"/>
    <mergeCell ref="C70:E70"/>
    <mergeCell ref="B71:E71"/>
    <mergeCell ref="C73:E73"/>
    <mergeCell ref="C74:E74"/>
    <mergeCell ref="C75:E75"/>
    <mergeCell ref="C76:E76"/>
    <mergeCell ref="C77:E77"/>
    <mergeCell ref="C91:E91"/>
    <mergeCell ref="B79:F79"/>
    <mergeCell ref="C80:D80"/>
    <mergeCell ref="C81:D81"/>
    <mergeCell ref="C82:D82"/>
    <mergeCell ref="C83:D83"/>
    <mergeCell ref="C84:D84"/>
    <mergeCell ref="C85:D85"/>
    <mergeCell ref="C86:D86"/>
    <mergeCell ref="B87:E87"/>
    <mergeCell ref="C89:E89"/>
    <mergeCell ref="C90:E90"/>
    <mergeCell ref="C92:E92"/>
    <mergeCell ref="C93:E93"/>
    <mergeCell ref="C94:E94"/>
    <mergeCell ref="C95:E95"/>
    <mergeCell ref="B96:E96"/>
  </mergeCells>
  <printOptions horizontalCentered="1"/>
  <pageMargins left="0.08" right="0.05" top="0.19685039370078741" bottom="0.15748031496062992" header="0.19685039370078741" footer="0.15748031496062992"/>
  <pageSetup paperSize="9" scale="51" orientation="portrait" r:id="rId1"/>
  <ignoredErrors>
    <ignoredError sqref="B1:F1 B4:F4 C3:F3 B13:F14 B2:E2 B12 D12:E12 B10:F11 B9:C9 E9:F9 C16:F17 B7:F8 C6:F6 C5:F5 B15:C15 E15:F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150"/>
  <sheetViews>
    <sheetView topLeftCell="A77" zoomScaleNormal="100" zoomScaleSheetLayoutView="100" workbookViewId="0">
      <selection activeCell="F96" sqref="F96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7.85546875" style="9" customWidth="1"/>
    <col min="5" max="5" width="13.5703125" style="9" customWidth="1"/>
    <col min="6" max="6" width="15.42578125" style="9" bestFit="1" customWidth="1"/>
    <col min="7" max="7" width="9.140625" style="6"/>
    <col min="8" max="8" width="18.85546875" style="141" bestFit="1" customWidth="1"/>
    <col min="9" max="9" width="14.85546875" style="141" customWidth="1"/>
    <col min="10" max="10" width="12.7109375" style="141" customWidth="1"/>
    <col min="11" max="11" width="14" style="141" customWidth="1"/>
    <col min="12" max="12" width="13.7109375" style="72" customWidth="1"/>
    <col min="13" max="13" width="9.42578125" style="72" customWidth="1"/>
    <col min="14" max="14" width="12.85546875" style="72" customWidth="1"/>
    <col min="15" max="16384" width="9.140625" style="6"/>
  </cols>
  <sheetData>
    <row r="1" spans="2:14" ht="20.25" x14ac:dyDescent="0.35">
      <c r="B1" s="318" t="str">
        <f>RAMO</f>
        <v>RAMO: ESCOLA SUPERIOR DO MINISTÉRIO PÚBLICO DA UNIÃO</v>
      </c>
      <c r="C1" s="319"/>
      <c r="D1" s="319"/>
      <c r="E1" s="319"/>
      <c r="F1" s="320"/>
      <c r="H1" s="6"/>
      <c r="I1" s="6"/>
      <c r="J1" s="6"/>
      <c r="K1" s="6"/>
      <c r="L1" s="6"/>
      <c r="M1" s="6"/>
      <c r="N1" s="6"/>
    </row>
    <row r="2" spans="2:14" ht="20.25" x14ac:dyDescent="0.35">
      <c r="B2" s="321" t="str">
        <f>UG</f>
        <v>UNIDADE GESTORA (SIGLA): ESMPU</v>
      </c>
      <c r="C2" s="322"/>
      <c r="D2" s="323"/>
      <c r="E2" s="181" t="s">
        <v>3</v>
      </c>
      <c r="F2" s="182">
        <f>IF(DATA_DO_ORCAMENTO_ESTIMATIVO="","",DATA_DO_ORCAMENTO_ESTIMATIVO)</f>
        <v>45687</v>
      </c>
      <c r="H2" s="6"/>
      <c r="I2" s="6"/>
      <c r="J2" s="6"/>
      <c r="K2" s="6"/>
      <c r="L2" s="6"/>
      <c r="M2" s="6"/>
      <c r="N2" s="6"/>
    </row>
    <row r="3" spans="2:14" s="125" customFormat="1" ht="25.5" x14ac:dyDescent="0.5">
      <c r="B3" s="271" t="s">
        <v>234</v>
      </c>
      <c r="C3" s="271"/>
      <c r="D3" s="271"/>
      <c r="E3" s="271"/>
      <c r="F3" s="271"/>
    </row>
    <row r="4" spans="2:14" s="125" customFormat="1" ht="15.95" customHeight="1" x14ac:dyDescent="0.3">
      <c r="B4" s="246" t="s">
        <v>7</v>
      </c>
      <c r="C4" s="246"/>
      <c r="D4" s="246"/>
      <c r="E4" s="246"/>
      <c r="F4" s="246"/>
    </row>
    <row r="5" spans="2:14" s="125" customFormat="1" ht="15.95" customHeight="1" x14ac:dyDescent="0.3">
      <c r="B5" s="243" t="s">
        <v>212</v>
      </c>
      <c r="C5" s="243"/>
      <c r="D5" s="324" t="str">
        <f>NUMERO_PROCESSO</f>
        <v>0.01.000.1.003275/2024-64</v>
      </c>
      <c r="E5" s="324"/>
      <c r="F5" s="324"/>
    </row>
    <row r="6" spans="2:14" s="125" customFormat="1" ht="15.75" customHeight="1" x14ac:dyDescent="0.3">
      <c r="B6" s="275" t="s">
        <v>213</v>
      </c>
      <c r="C6" s="275"/>
      <c r="D6" s="316" t="str">
        <f>MODALIDADE_DE_LICITACAO</f>
        <v>Pregão nº</v>
      </c>
      <c r="E6" s="316"/>
      <c r="F6" s="185" t="str">
        <f>NUMERO_PREGAO</f>
        <v>XX/20XX</v>
      </c>
    </row>
    <row r="7" spans="2:14" s="125" customFormat="1" ht="15.75" customHeight="1" x14ac:dyDescent="0.3">
      <c r="B7" s="317" t="s">
        <v>214</v>
      </c>
      <c r="C7" s="317"/>
      <c r="D7" s="317"/>
      <c r="E7" s="317"/>
      <c r="F7" s="317"/>
    </row>
    <row r="8" spans="2:14" s="125" customFormat="1" ht="18" customHeight="1" x14ac:dyDescent="0.3">
      <c r="B8" s="15" t="s">
        <v>31</v>
      </c>
      <c r="C8" s="243" t="s">
        <v>32</v>
      </c>
      <c r="D8" s="243"/>
      <c r="E8" s="243"/>
      <c r="F8" s="183" t="str">
        <f>DATA_APRESENTACAO_PROPOSTA</f>
        <v>XX/XX/20XX</v>
      </c>
    </row>
    <row r="9" spans="2:14" s="125" customFormat="1" ht="15.95" customHeight="1" x14ac:dyDescent="0.15">
      <c r="B9" s="1" t="s">
        <v>34</v>
      </c>
      <c r="C9" s="55" t="s">
        <v>35</v>
      </c>
      <c r="D9" s="314" t="str">
        <f>IF(LOCAL_DE_EXECUCAO="","",LOCAL_DE_EXECUCAO)</f>
        <v>EDIFÍCIO SEDE DA ESMPU</v>
      </c>
      <c r="E9" s="314"/>
      <c r="F9" s="314"/>
    </row>
    <row r="10" spans="2:14" s="125" customFormat="1" ht="18.75" customHeight="1" x14ac:dyDescent="0.3">
      <c r="B10" s="15" t="s">
        <v>38</v>
      </c>
      <c r="C10" s="243" t="s">
        <v>43</v>
      </c>
      <c r="D10" s="243"/>
      <c r="E10" s="243"/>
      <c r="F10" s="184" t="str">
        <f>ACORDO_COLETIVO</f>
        <v>01/2025</v>
      </c>
    </row>
    <row r="11" spans="2:14" s="125" customFormat="1" ht="15.95" customHeight="1" x14ac:dyDescent="0.3">
      <c r="B11" s="1" t="s">
        <v>42</v>
      </c>
      <c r="C11" s="314" t="s">
        <v>46</v>
      </c>
      <c r="D11" s="314"/>
      <c r="E11" s="314"/>
      <c r="F11" s="20">
        <f>NUMERO_MESES_EXEC_CONTRATUAL</f>
        <v>12</v>
      </c>
    </row>
    <row r="12" spans="2:14" s="125" customFormat="1" x14ac:dyDescent="0.3">
      <c r="B12" s="1" t="s">
        <v>45</v>
      </c>
      <c r="C12" s="315" t="s">
        <v>235</v>
      </c>
      <c r="D12" s="315"/>
      <c r="E12" s="315"/>
      <c r="F12" s="53">
        <f>IF(QTDE_DE_SERV=0,"",QTDE_DE_SERV)</f>
        <v>12</v>
      </c>
    </row>
    <row r="13" spans="2:14" s="139" customFormat="1" ht="15" customHeight="1" x14ac:dyDescent="0.2">
      <c r="B13" s="137" t="s">
        <v>73</v>
      </c>
      <c r="C13" s="138"/>
      <c r="D13" s="138"/>
      <c r="E13" s="138"/>
      <c r="F13" s="138"/>
    </row>
    <row r="14" spans="2:14" s="125" customFormat="1" x14ac:dyDescent="0.3">
      <c r="B14" s="15">
        <v>1</v>
      </c>
      <c r="C14" s="217" t="s">
        <v>67</v>
      </c>
      <c r="D14" s="217"/>
      <c r="E14" s="257" t="str">
        <f>TIPO_DE_SERVICO</f>
        <v>Limpeza e Conservação</v>
      </c>
      <c r="F14" s="257"/>
    </row>
    <row r="15" spans="2:14" s="125" customFormat="1" x14ac:dyDescent="0.3">
      <c r="B15" s="15">
        <v>2</v>
      </c>
      <c r="C15" s="17" t="s">
        <v>69</v>
      </c>
      <c r="D15" s="313" t="str">
        <f>CBO</f>
        <v>5143-20</v>
      </c>
      <c r="E15" s="313"/>
      <c r="F15" s="313"/>
    </row>
    <row r="16" spans="2:14" s="125" customFormat="1" ht="15" customHeight="1" x14ac:dyDescent="0.3">
      <c r="B16" s="15">
        <v>3</v>
      </c>
      <c r="C16" s="44" t="s">
        <v>217</v>
      </c>
      <c r="D16" s="257" t="str">
        <f>CATEGORIA_PROFISSIONAL_SERV</f>
        <v>Servente</v>
      </c>
      <c r="E16" s="257"/>
      <c r="F16" s="257"/>
    </row>
    <row r="17" spans="2:14" s="125" customFormat="1" ht="15" customHeight="1" x14ac:dyDescent="0.3">
      <c r="B17" s="15">
        <v>4</v>
      </c>
      <c r="C17" s="278" t="s">
        <v>71</v>
      </c>
      <c r="D17" s="278"/>
      <c r="E17" s="278"/>
      <c r="F17" s="190">
        <f>DATA_BASE_CATEGORIA</f>
        <v>45658</v>
      </c>
    </row>
    <row r="18" spans="2:14" s="140" customFormat="1" ht="20.25" customHeight="1" x14ac:dyDescent="0.3">
      <c r="B18" s="312" t="s">
        <v>218</v>
      </c>
      <c r="C18" s="312"/>
      <c r="D18" s="312"/>
      <c r="E18" s="312"/>
      <c r="F18" s="312"/>
    </row>
    <row r="19" spans="2:14" x14ac:dyDescent="0.3">
      <c r="B19" s="41" t="s">
        <v>74</v>
      </c>
      <c r="E19" s="7"/>
      <c r="F19" s="7"/>
    </row>
    <row r="20" spans="2:14" x14ac:dyDescent="0.3">
      <c r="B20" s="1">
        <v>1</v>
      </c>
      <c r="C20" s="285" t="s">
        <v>75</v>
      </c>
      <c r="D20" s="285"/>
      <c r="E20" s="285"/>
      <c r="F20" s="116" t="s">
        <v>110</v>
      </c>
    </row>
    <row r="21" spans="2:14" x14ac:dyDescent="0.3">
      <c r="B21" s="1" t="s">
        <v>31</v>
      </c>
      <c r="C21" s="213" t="s">
        <v>219</v>
      </c>
      <c r="D21" s="213"/>
      <c r="E21" s="213"/>
      <c r="F21" s="45">
        <f>SALARIO_NORMATIVO_SERV</f>
        <v>1743.69</v>
      </c>
    </row>
    <row r="22" spans="2:14" ht="16.5" customHeight="1" x14ac:dyDescent="0.3">
      <c r="B22" s="1" t="s">
        <v>34</v>
      </c>
      <c r="C22" s="214" t="s">
        <v>220</v>
      </c>
      <c r="D22" s="215"/>
      <c r="E22" s="216"/>
      <c r="F22" s="3">
        <f>IF(ADIC_INSALUB_SERV="SIM",PERC_ADIC_INSALUB%*SAL_MINIMO,0)</f>
        <v>0</v>
      </c>
      <c r="H22" s="6"/>
      <c r="I22" s="6"/>
      <c r="J22" s="6"/>
      <c r="K22" s="6"/>
      <c r="L22" s="6"/>
      <c r="M22" s="6"/>
      <c r="N22" s="6"/>
    </row>
    <row r="23" spans="2:14" x14ac:dyDescent="0.3">
      <c r="B23" s="1" t="s">
        <v>38</v>
      </c>
      <c r="C23" s="306" t="str">
        <f>OUTROS_REMUNERACAO_1_DESCRICAO</f>
        <v>Outras Remunerações 1 (Especificar)</v>
      </c>
      <c r="D23" s="307"/>
      <c r="E23" s="308"/>
      <c r="F23" s="45">
        <f>OUTROS_REMUNERACAO_1</f>
        <v>0</v>
      </c>
    </row>
    <row r="24" spans="2:14" ht="15.75" customHeight="1" x14ac:dyDescent="0.3">
      <c r="B24" s="1" t="s">
        <v>42</v>
      </c>
      <c r="C24" s="282" t="str">
        <f>OUTROS_REMUNERACAO_2_DESCRICAO</f>
        <v>Outras Remunerações 2 (Especificar)</v>
      </c>
      <c r="D24" s="283"/>
      <c r="E24" s="284"/>
      <c r="F24" s="3">
        <f>OUTROS_REMUNERACAO_2</f>
        <v>0</v>
      </c>
    </row>
    <row r="25" spans="2:14" ht="15.75" customHeight="1" x14ac:dyDescent="0.3">
      <c r="B25" s="1" t="s">
        <v>45</v>
      </c>
      <c r="C25" s="306" t="str">
        <f>OUTROS_REMUNERACAO_3_DESCRICAO</f>
        <v>Outras Remunerações 3 (Especificar)</v>
      </c>
      <c r="D25" s="307"/>
      <c r="E25" s="308"/>
      <c r="F25" s="45">
        <f>OUTROS_REMUNERACAO_3</f>
        <v>0</v>
      </c>
    </row>
    <row r="26" spans="2:14" ht="15.75" customHeight="1" x14ac:dyDescent="0.3">
      <c r="B26" s="309" t="s">
        <v>15</v>
      </c>
      <c r="C26" s="309"/>
      <c r="D26" s="309"/>
      <c r="E26" s="309"/>
      <c r="F26" s="31">
        <f>SUM(F21:F25)</f>
        <v>1743.69</v>
      </c>
      <c r="L26" s="141"/>
      <c r="M26" s="141"/>
    </row>
    <row r="27" spans="2:14" x14ac:dyDescent="0.3">
      <c r="B27" s="41" t="s">
        <v>81</v>
      </c>
      <c r="E27" s="11"/>
      <c r="F27" s="11"/>
      <c r="L27" s="141"/>
      <c r="M27" s="141"/>
    </row>
    <row r="28" spans="2:14" x14ac:dyDescent="0.3">
      <c r="B28" s="41" t="s">
        <v>175</v>
      </c>
      <c r="C28" s="5"/>
      <c r="D28" s="12"/>
      <c r="E28" s="10"/>
      <c r="F28" s="10"/>
      <c r="L28" s="141"/>
      <c r="M28" s="141"/>
      <c r="N28" s="142"/>
    </row>
    <row r="29" spans="2:14" x14ac:dyDescent="0.3">
      <c r="B29" s="1" t="s">
        <v>176</v>
      </c>
      <c r="C29" s="212" t="s">
        <v>177</v>
      </c>
      <c r="D29" s="212"/>
      <c r="E29" s="116" t="s">
        <v>100</v>
      </c>
      <c r="F29" s="116" t="s">
        <v>110</v>
      </c>
      <c r="L29" s="141"/>
      <c r="M29" s="141"/>
      <c r="N29" s="143"/>
    </row>
    <row r="30" spans="2:14" x14ac:dyDescent="0.3">
      <c r="B30" s="1" t="s">
        <v>31</v>
      </c>
      <c r="C30" s="295" t="s">
        <v>179</v>
      </c>
      <c r="D30" s="295"/>
      <c r="E30" s="47">
        <f>PERC_DEC_TERC</f>
        <v>8.33</v>
      </c>
      <c r="F30" s="46">
        <f>PERC_DEC_TERC%*MOD_1_REMUNERACAO_SERV</f>
        <v>145.25</v>
      </c>
      <c r="L30" s="141"/>
      <c r="M30" s="141"/>
      <c r="N30" s="143"/>
    </row>
    <row r="31" spans="2:14" x14ac:dyDescent="0.3">
      <c r="B31" s="2" t="s">
        <v>34</v>
      </c>
      <c r="C31" s="294" t="s">
        <v>181</v>
      </c>
      <c r="D31" s="294"/>
      <c r="E31" s="29">
        <f>PERC_ADIC_FERIAS</f>
        <v>2.78</v>
      </c>
      <c r="F31" s="27">
        <f>PERC_ADIC_FERIAS%*MOD_1_REMUNERACAO_SERV</f>
        <v>48.47</v>
      </c>
      <c r="L31" s="141"/>
      <c r="M31" s="141"/>
      <c r="N31" s="143"/>
    </row>
    <row r="32" spans="2:14" x14ac:dyDescent="0.3">
      <c r="B32" s="232" t="s">
        <v>15</v>
      </c>
      <c r="C32" s="233"/>
      <c r="D32" s="233"/>
      <c r="E32" s="234"/>
      <c r="F32" s="32">
        <f>SUM(F30:F31)</f>
        <v>193.72</v>
      </c>
      <c r="L32" s="141"/>
      <c r="M32" s="141"/>
    </row>
    <row r="33" spans="2:14" x14ac:dyDescent="0.3">
      <c r="B33" s="310" t="s">
        <v>183</v>
      </c>
      <c r="C33" s="310"/>
      <c r="D33" s="310"/>
      <c r="E33" s="310"/>
      <c r="F33" s="310"/>
      <c r="L33" s="141"/>
      <c r="M33" s="141"/>
    </row>
    <row r="34" spans="2:14" x14ac:dyDescent="0.3">
      <c r="B34" s="1" t="s">
        <v>184</v>
      </c>
      <c r="C34" s="299" t="s">
        <v>185</v>
      </c>
      <c r="D34" s="299"/>
      <c r="E34" s="116" t="s">
        <v>100</v>
      </c>
      <c r="F34" s="116" t="s">
        <v>110</v>
      </c>
      <c r="L34" s="141"/>
      <c r="M34" s="141"/>
    </row>
    <row r="35" spans="2:14" x14ac:dyDescent="0.3">
      <c r="B35" s="1" t="s">
        <v>31</v>
      </c>
      <c r="C35" s="295" t="s">
        <v>186</v>
      </c>
      <c r="D35" s="295"/>
      <c r="E35" s="47">
        <f>PERC_INSS</f>
        <v>20</v>
      </c>
      <c r="F35" s="46">
        <f>PERC_INSS%*(MOD_1_REMUNERACAO_SERV+SUBMOD_2_1_DEC_TERC_ADIC_FERIAS_SERV)</f>
        <v>387.48</v>
      </c>
      <c r="L35" s="141"/>
      <c r="M35" s="141"/>
    </row>
    <row r="36" spans="2:14" s="133" customFormat="1" x14ac:dyDescent="0.3">
      <c r="B36" s="2" t="s">
        <v>34</v>
      </c>
      <c r="C36" s="294" t="s">
        <v>187</v>
      </c>
      <c r="D36" s="294"/>
      <c r="E36" s="36">
        <f>PERC_SAL_EDUCACAO</f>
        <v>2.5</v>
      </c>
      <c r="F36" s="27">
        <f>PERC_SAL_EDUCACAO%*(MOD_1_REMUNERACAO_SERV+SUBMOD_2_1_DEC_TERC_ADIC_FERIAS_SERV)</f>
        <v>48.44</v>
      </c>
      <c r="H36" s="141"/>
      <c r="I36" s="141"/>
      <c r="J36" s="141"/>
      <c r="K36" s="141"/>
      <c r="L36" s="141"/>
      <c r="M36" s="141"/>
      <c r="N36" s="72"/>
    </row>
    <row r="37" spans="2:14" s="133" customFormat="1" x14ac:dyDescent="0.3">
      <c r="B37" s="2" t="s">
        <v>38</v>
      </c>
      <c r="C37" s="295" t="s">
        <v>221</v>
      </c>
      <c r="D37" s="295"/>
      <c r="E37" s="47">
        <f>PERC_RAT</f>
        <v>3</v>
      </c>
      <c r="F37" s="46">
        <f>PERC_RAT%*(MOD_1_REMUNERACAO_SERV+SUBMOD_2_1_DEC_TERC_ADIC_FERIAS_SERV)</f>
        <v>58.12</v>
      </c>
      <c r="H37" s="141"/>
      <c r="I37" s="141"/>
      <c r="J37" s="141"/>
      <c r="K37" s="141"/>
      <c r="L37" s="141"/>
      <c r="M37" s="141"/>
      <c r="N37" s="72"/>
    </row>
    <row r="38" spans="2:14" s="133" customFormat="1" x14ac:dyDescent="0.3">
      <c r="B38" s="2" t="s">
        <v>42</v>
      </c>
      <c r="C38" s="294" t="s">
        <v>189</v>
      </c>
      <c r="D38" s="294"/>
      <c r="E38" s="29">
        <f>PERC_SESC</f>
        <v>1.5</v>
      </c>
      <c r="F38" s="27">
        <f>PERC_SESC%*(MOD_1_REMUNERACAO_SERV+SUBMOD_2_1_DEC_TERC_ADIC_FERIAS_SERV)</f>
        <v>29.06</v>
      </c>
      <c r="H38" s="141"/>
      <c r="I38" s="141"/>
      <c r="J38" s="141"/>
      <c r="K38" s="141"/>
      <c r="L38" s="141"/>
      <c r="M38" s="141"/>
      <c r="N38" s="72"/>
    </row>
    <row r="39" spans="2:14" x14ac:dyDescent="0.3">
      <c r="B39" s="2" t="s">
        <v>45</v>
      </c>
      <c r="C39" s="295" t="s">
        <v>190</v>
      </c>
      <c r="D39" s="295"/>
      <c r="E39" s="47">
        <f>PERC_SENAC</f>
        <v>1</v>
      </c>
      <c r="F39" s="46">
        <f>PERC_SENAC%*(MOD_1_REMUNERACAO_SERV+SUBMOD_2_1_DEC_TERC_ADIC_FERIAS_SERV)</f>
        <v>19.37</v>
      </c>
      <c r="L39" s="141"/>
      <c r="M39" s="141"/>
    </row>
    <row r="40" spans="2:14" s="125" customFormat="1" x14ac:dyDescent="0.15">
      <c r="B40" s="2" t="s">
        <v>94</v>
      </c>
      <c r="C40" s="294" t="s">
        <v>191</v>
      </c>
      <c r="D40" s="294"/>
      <c r="E40" s="36">
        <f>PERC_SEBRAE</f>
        <v>0.6</v>
      </c>
      <c r="F40" s="27">
        <f>PERC_SEBRAE%*(MOD_1_REMUNERACAO_SERV+SUBMOD_2_1_DEC_TERC_ADIC_FERIAS_SERV)</f>
        <v>11.62</v>
      </c>
      <c r="H40" s="72"/>
      <c r="I40" s="72"/>
      <c r="J40" s="72"/>
      <c r="K40" s="72"/>
      <c r="L40" s="72"/>
      <c r="M40" s="72"/>
      <c r="N40" s="72"/>
    </row>
    <row r="41" spans="2:14" s="125" customFormat="1" x14ac:dyDescent="0.15">
      <c r="B41" s="2" t="s">
        <v>150</v>
      </c>
      <c r="C41" s="295" t="s">
        <v>192</v>
      </c>
      <c r="D41" s="295"/>
      <c r="E41" s="47">
        <f>PERC_INCRA</f>
        <v>0.2</v>
      </c>
      <c r="F41" s="46">
        <f>PERC_INCRA%*(MOD_1_REMUNERACAO_SERV+SUBMOD_2_1_DEC_TERC_ADIC_FERIAS_SERV)</f>
        <v>3.87</v>
      </c>
      <c r="H41" s="72"/>
      <c r="I41" s="72"/>
      <c r="J41" s="72"/>
      <c r="K41" s="72"/>
      <c r="L41" s="72"/>
      <c r="M41" s="72"/>
      <c r="N41" s="72"/>
    </row>
    <row r="42" spans="2:14" s="125" customFormat="1" x14ac:dyDescent="0.15">
      <c r="B42" s="2" t="s">
        <v>152</v>
      </c>
      <c r="C42" s="294" t="s">
        <v>193</v>
      </c>
      <c r="D42" s="294"/>
      <c r="E42" s="36">
        <f>PERC_FGTS</f>
        <v>8</v>
      </c>
      <c r="F42" s="27">
        <f>PERC_FGTS%*(MOD_1_REMUNERACAO_SERV+SUBMOD_2_1_DEC_TERC_ADIC_FERIAS_SERV)</f>
        <v>154.99</v>
      </c>
      <c r="H42" s="72"/>
      <c r="I42" s="72"/>
      <c r="J42" s="72"/>
      <c r="K42" s="72"/>
      <c r="L42" s="72"/>
      <c r="M42" s="72"/>
      <c r="N42" s="72"/>
    </row>
    <row r="43" spans="2:14" s="125" customFormat="1" x14ac:dyDescent="0.15">
      <c r="B43" s="232" t="s">
        <v>15</v>
      </c>
      <c r="C43" s="233"/>
      <c r="D43" s="233"/>
      <c r="E43" s="234"/>
      <c r="F43" s="33">
        <f>SUM(F35:F42)</f>
        <v>712.95</v>
      </c>
      <c r="H43" s="72"/>
      <c r="I43" s="72"/>
      <c r="J43" s="72"/>
      <c r="K43" s="72"/>
      <c r="L43" s="72"/>
      <c r="M43" s="72"/>
      <c r="N43" s="72"/>
    </row>
    <row r="44" spans="2:14" s="125" customFormat="1" x14ac:dyDescent="0.3">
      <c r="B44" s="41" t="s">
        <v>82</v>
      </c>
      <c r="H44" s="72"/>
      <c r="I44" s="72"/>
      <c r="J44" s="72"/>
      <c r="K44" s="72"/>
      <c r="L44" s="72"/>
      <c r="M44" s="72"/>
      <c r="N44" s="72"/>
    </row>
    <row r="45" spans="2:14" s="125" customFormat="1" x14ac:dyDescent="0.15">
      <c r="B45" s="1" t="s">
        <v>83</v>
      </c>
      <c r="C45" s="285" t="s">
        <v>84</v>
      </c>
      <c r="D45" s="285"/>
      <c r="E45" s="285"/>
      <c r="F45" s="116" t="s">
        <v>110</v>
      </c>
      <c r="H45" s="144"/>
      <c r="I45" s="144"/>
      <c r="J45" s="144"/>
      <c r="K45" s="144"/>
      <c r="L45" s="144"/>
      <c r="M45" s="144"/>
      <c r="N45" s="144"/>
    </row>
    <row r="46" spans="2:14" x14ac:dyDescent="0.3">
      <c r="B46" s="15" t="s">
        <v>31</v>
      </c>
      <c r="C46" s="295" t="s">
        <v>87</v>
      </c>
      <c r="D46" s="295"/>
      <c r="E46" s="295"/>
      <c r="F46" s="46">
        <f>IF(((TRANSPORTE_POR_DIA*DIAS_TRABALHADOS_NO_MES)-(PERC_DESC_TRANSP_REMUNERACAO%*(AL_1_A_SAL_BASE_SERV)))&gt;0,((TRANSPORTE_POR_DIA*DIAS_TRABALHADOS_NO_MES)-(PERC_DESC_TRANSP_REMUNERACAO%*(AL_1_A_SAL_BASE_SERV))),0)</f>
        <v>137.38</v>
      </c>
      <c r="H46" s="144"/>
      <c r="I46" s="144"/>
      <c r="J46" s="144"/>
      <c r="K46" s="144"/>
      <c r="L46" s="144"/>
      <c r="M46" s="144"/>
      <c r="N46" s="144"/>
    </row>
    <row r="47" spans="2:14" x14ac:dyDescent="0.3">
      <c r="B47" s="15" t="s">
        <v>34</v>
      </c>
      <c r="C47" s="294" t="s">
        <v>89</v>
      </c>
      <c r="D47" s="294"/>
      <c r="E47" s="294"/>
      <c r="F47" s="27">
        <f>ALIMENTACAO_POR_DIA*DIAS_TRABALHADOS_NO_MES</f>
        <v>974.6</v>
      </c>
      <c r="H47" s="144"/>
      <c r="I47" s="144"/>
      <c r="J47" s="144"/>
      <c r="K47" s="144"/>
      <c r="L47" s="144"/>
      <c r="M47" s="144"/>
      <c r="N47" s="144"/>
    </row>
    <row r="48" spans="2:14" ht="15.75" customHeight="1" x14ac:dyDescent="0.3">
      <c r="B48" s="15" t="s">
        <v>38</v>
      </c>
      <c r="C48" s="306" t="str">
        <f>OUTROS_BENEFICIOS_1_DESCRICAO</f>
        <v>Seguro de Vida e Assistência Funeral</v>
      </c>
      <c r="D48" s="307"/>
      <c r="E48" s="308"/>
      <c r="F48" s="46">
        <f>OUTROS_BENEFICIOS_1</f>
        <v>3.61</v>
      </c>
      <c r="H48" s="144"/>
      <c r="I48" s="144"/>
      <c r="J48" s="144"/>
      <c r="K48" s="144"/>
      <c r="L48" s="144"/>
      <c r="M48" s="144"/>
      <c r="N48" s="144"/>
    </row>
    <row r="49" spans="2:14" ht="15.75" customHeight="1" x14ac:dyDescent="0.3">
      <c r="B49" s="15" t="s">
        <v>42</v>
      </c>
      <c r="C49" s="282" t="str">
        <f>OUTROS_BENEFICIOS_2_DESCRICAO</f>
        <v>Outros Benefícios 2 (Especificar)</v>
      </c>
      <c r="D49" s="283"/>
      <c r="E49" s="284"/>
      <c r="F49" s="27">
        <f>OUTROS_BENEFICIOS_2</f>
        <v>0</v>
      </c>
      <c r="L49" s="141"/>
      <c r="M49" s="141"/>
      <c r="N49" s="145"/>
    </row>
    <row r="50" spans="2:14" x14ac:dyDescent="0.3">
      <c r="B50" s="15" t="s">
        <v>45</v>
      </c>
      <c r="C50" s="306" t="str">
        <f>OUTROS_BENEFICIOS_3_DESCRICAO</f>
        <v>Outros Benefícios 3 (Especificar)</v>
      </c>
      <c r="D50" s="307"/>
      <c r="E50" s="308"/>
      <c r="F50" s="46">
        <f>OUTROS_BENEFICIOS_3</f>
        <v>0</v>
      </c>
      <c r="L50" s="141"/>
      <c r="M50" s="141"/>
      <c r="N50" s="145"/>
    </row>
    <row r="51" spans="2:14" s="133" customFormat="1" x14ac:dyDescent="0.3">
      <c r="B51" s="309" t="s">
        <v>15</v>
      </c>
      <c r="C51" s="309"/>
      <c r="D51" s="309"/>
      <c r="E51" s="309"/>
      <c r="F51" s="31">
        <f>SUM(F46:F50)</f>
        <v>1115.5899999999999</v>
      </c>
      <c r="H51" s="141"/>
      <c r="I51" s="141"/>
      <c r="J51" s="141"/>
      <c r="K51" s="141"/>
      <c r="L51" s="141"/>
      <c r="M51" s="141"/>
      <c r="N51" s="145"/>
    </row>
    <row r="52" spans="2:14" s="133" customFormat="1" x14ac:dyDescent="0.3">
      <c r="B52" s="41" t="s">
        <v>156</v>
      </c>
      <c r="C52" s="5"/>
      <c r="D52" s="12"/>
      <c r="E52" s="10"/>
      <c r="F52" s="10"/>
      <c r="H52" s="141"/>
      <c r="I52" s="141"/>
      <c r="J52" s="141"/>
      <c r="K52" s="141"/>
      <c r="L52" s="141"/>
      <c r="M52" s="141"/>
      <c r="N52" s="72"/>
    </row>
    <row r="53" spans="2:14" s="133" customFormat="1" x14ac:dyDescent="0.3">
      <c r="B53" s="1">
        <v>3</v>
      </c>
      <c r="C53" s="212" t="s">
        <v>157</v>
      </c>
      <c r="D53" s="212"/>
      <c r="E53" s="116" t="s">
        <v>100</v>
      </c>
      <c r="F53" s="116" t="s">
        <v>110</v>
      </c>
      <c r="H53" s="141"/>
      <c r="I53" s="141"/>
      <c r="J53" s="141"/>
      <c r="K53" s="141"/>
      <c r="L53" s="141"/>
      <c r="M53" s="141"/>
      <c r="N53" s="72"/>
    </row>
    <row r="54" spans="2:14" s="133" customFormat="1" x14ac:dyDescent="0.3">
      <c r="B54" s="1" t="s">
        <v>31</v>
      </c>
      <c r="C54" s="296" t="s">
        <v>194</v>
      </c>
      <c r="D54" s="296"/>
      <c r="E54" s="47">
        <f>PERC_AVISO_PREVIO_IND</f>
        <v>0.26</v>
      </c>
      <c r="F54" s="46">
        <f>PERC_AVISO_PREVIO_IND%*(MOD_1_REMUNERACAO_SERV+SUBMOD_2_1_DEC_TERC_ADIC_FERIAS_SERV+AL_2_2_FGTS_SERV+SUBMOD_2_3_BENEFICIOS_SERV)</f>
        <v>8.34</v>
      </c>
      <c r="H54" s="141"/>
      <c r="I54" s="141"/>
      <c r="J54" s="141"/>
      <c r="K54" s="141"/>
      <c r="L54" s="141"/>
      <c r="M54" s="141"/>
      <c r="N54" s="72"/>
    </row>
    <row r="55" spans="2:14" s="133" customFormat="1" ht="15" customHeight="1" x14ac:dyDescent="0.3">
      <c r="B55" s="2" t="s">
        <v>34</v>
      </c>
      <c r="C55" s="298" t="s">
        <v>196</v>
      </c>
      <c r="D55" s="298"/>
      <c r="E55" s="36">
        <f>PERC_AVISO_PREVIO_TRAB</f>
        <v>1.03</v>
      </c>
      <c r="F55" s="27">
        <f>PERC_AVISO_PREVIO_TRAB%*(MOD_1_REMUNERACAO_SERV+SUBMOD_2_1_DEC_TERC_ADIC_FERIAS_SERV+SUBMOD_2_2_GPS_FGTS_SERV+SUBMOD_2_3_BENEFICIOS_SERV)</f>
        <v>38.79</v>
      </c>
      <c r="H55" s="141"/>
      <c r="I55" s="141"/>
      <c r="J55" s="141"/>
      <c r="K55" s="141"/>
      <c r="L55" s="141"/>
      <c r="M55" s="141"/>
      <c r="N55" s="72"/>
    </row>
    <row r="56" spans="2:14" s="133" customFormat="1" ht="16.5" customHeight="1" x14ac:dyDescent="0.3">
      <c r="B56" s="2" t="s">
        <v>38</v>
      </c>
      <c r="C56" s="296" t="s">
        <v>198</v>
      </c>
      <c r="D56" s="296"/>
      <c r="E56" s="47">
        <f>PERC_MULTA_FGTS_AV_PREV_TRAB</f>
        <v>0.04</v>
      </c>
      <c r="F56" s="46">
        <f>PERC_MULTA_FGTS_AV_PREV_TRAB%*(MOD_1_REMUNERACAO_SERV+SUBMOD_2_1_DEC_TERC_ADIC_FERIAS_SERV)</f>
        <v>0.77</v>
      </c>
      <c r="H56" s="141"/>
      <c r="I56" s="141"/>
      <c r="J56" s="141"/>
      <c r="K56" s="141"/>
      <c r="L56" s="141"/>
      <c r="M56" s="141"/>
      <c r="N56" s="72"/>
    </row>
    <row r="57" spans="2:14" s="125" customFormat="1" x14ac:dyDescent="0.3">
      <c r="B57" s="232" t="s">
        <v>15</v>
      </c>
      <c r="C57" s="233"/>
      <c r="D57" s="233"/>
      <c r="E57" s="234"/>
      <c r="F57" s="32">
        <f>SUM(F54:F56)</f>
        <v>47.9</v>
      </c>
      <c r="H57" s="141"/>
      <c r="I57" s="141"/>
      <c r="J57" s="141"/>
      <c r="K57" s="141"/>
      <c r="L57" s="141"/>
      <c r="M57" s="141"/>
      <c r="N57" s="72"/>
    </row>
    <row r="58" spans="2:14" s="125" customFormat="1" x14ac:dyDescent="0.3">
      <c r="B58" s="41" t="s">
        <v>96</v>
      </c>
      <c r="C58" s="5"/>
      <c r="D58" s="12"/>
      <c r="E58" s="6"/>
      <c r="F58" s="6"/>
      <c r="H58" s="141"/>
      <c r="I58" s="141"/>
      <c r="J58" s="141"/>
      <c r="K58" s="141"/>
      <c r="L58" s="141"/>
      <c r="M58" s="141"/>
      <c r="N58" s="72"/>
    </row>
    <row r="59" spans="2:14" s="125" customFormat="1" x14ac:dyDescent="0.3">
      <c r="B59" s="41" t="s">
        <v>97</v>
      </c>
      <c r="C59" s="5"/>
      <c r="D59" s="12"/>
      <c r="E59" s="10"/>
      <c r="F59" s="10"/>
      <c r="H59" s="146"/>
      <c r="I59" s="146"/>
      <c r="J59" s="146"/>
      <c r="K59" s="146"/>
      <c r="L59" s="141"/>
      <c r="M59" s="141"/>
      <c r="N59" s="72"/>
    </row>
    <row r="60" spans="2:14" s="125" customFormat="1" x14ac:dyDescent="0.15">
      <c r="B60" s="1" t="s">
        <v>98</v>
      </c>
      <c r="C60" s="297" t="s">
        <v>99</v>
      </c>
      <c r="D60" s="297"/>
      <c r="E60" s="116" t="s">
        <v>100</v>
      </c>
      <c r="F60" s="116" t="s">
        <v>110</v>
      </c>
      <c r="H60" s="146"/>
      <c r="I60" s="146"/>
      <c r="J60" s="146"/>
      <c r="K60" s="146"/>
      <c r="L60" s="141"/>
      <c r="M60" s="141"/>
      <c r="N60" s="72"/>
    </row>
    <row r="61" spans="2:14" x14ac:dyDescent="0.3">
      <c r="B61" s="2" t="s">
        <v>31</v>
      </c>
      <c r="C61" s="295" t="s">
        <v>200</v>
      </c>
      <c r="D61" s="295"/>
      <c r="E61" s="47">
        <f>PERC_SUBSTITUTO_FERIAS</f>
        <v>8.33</v>
      </c>
      <c r="F61" s="46">
        <f>PERC_SUBSTITUTO_FERIAS%*(MOD_1_REMUNERACAO_SERV+MOD_2_ENCARGOS_BENEFICIOS_SERV+MOD_3_PROVISAO_RESCISAO_SERV)</f>
        <v>317.69</v>
      </c>
      <c r="H61" s="146"/>
      <c r="I61" s="146"/>
      <c r="J61" s="146"/>
      <c r="K61" s="146"/>
      <c r="L61" s="141"/>
      <c r="M61" s="141"/>
    </row>
    <row r="62" spans="2:14" s="125" customFormat="1" ht="15.95" customHeight="1" x14ac:dyDescent="0.15">
      <c r="B62" s="2" t="s">
        <v>34</v>
      </c>
      <c r="C62" s="294" t="s">
        <v>202</v>
      </c>
      <c r="D62" s="294"/>
      <c r="E62" s="36">
        <f>PERC_SUBSTITUTO_AUSENCIAS_LEGAIS</f>
        <v>2.2200000000000002</v>
      </c>
      <c r="F62" s="27">
        <f>PERC_SUBSTITUTO_AUSENCIAS_LEGAIS%*(MOD_1_REMUNERACAO_SERV+MOD_2_ENCARGOS_BENEFICIOS_SERV+MOD_3_PROVISAO_RESCISAO_SERV)</f>
        <v>84.67</v>
      </c>
      <c r="H62" s="146"/>
      <c r="I62" s="146"/>
      <c r="J62" s="146"/>
      <c r="K62" s="146"/>
      <c r="L62" s="141"/>
      <c r="M62" s="141"/>
      <c r="N62" s="72"/>
    </row>
    <row r="63" spans="2:14" s="125" customFormat="1" ht="15.95" customHeight="1" x14ac:dyDescent="0.15">
      <c r="B63" s="2" t="s">
        <v>38</v>
      </c>
      <c r="C63" s="295" t="s">
        <v>204</v>
      </c>
      <c r="D63" s="295"/>
      <c r="E63" s="47">
        <f>PERC_SUBSTITUTO_LICENCA_PATERNIDADE</f>
        <v>0.04</v>
      </c>
      <c r="F63" s="46">
        <f>PERC_SUBSTITUTO_LICENCA_PATERNIDADE%*(MOD_1_REMUNERACAO_SERV+MOD_2_ENCARGOS_BENEFICIOS_SERV+MOD_3_PROVISAO_RESCISAO_SERV)</f>
        <v>1.53</v>
      </c>
      <c r="H63" s="146"/>
      <c r="I63" s="146"/>
      <c r="J63" s="146"/>
      <c r="K63" s="146"/>
      <c r="L63" s="141"/>
      <c r="M63" s="141"/>
      <c r="N63" s="146"/>
    </row>
    <row r="64" spans="2:14" s="125" customFormat="1" x14ac:dyDescent="0.15">
      <c r="B64" s="2" t="s">
        <v>42</v>
      </c>
      <c r="C64" s="294" t="s">
        <v>206</v>
      </c>
      <c r="D64" s="294"/>
      <c r="E64" s="36">
        <f>PERC_SUBSTITUTO_ACID_TRAB</f>
        <v>0.02</v>
      </c>
      <c r="F64" s="27">
        <f>PERC_SUBSTITUTO_ACID_TRAB%*(MOD_1_REMUNERACAO_SERV+MOD_2_ENCARGOS_BENEFICIOS_SERV+MOD_3_PROVISAO_RESCISAO_SERV)</f>
        <v>0.76</v>
      </c>
      <c r="H64" s="146"/>
      <c r="I64" s="146"/>
      <c r="J64" s="146"/>
      <c r="K64" s="146"/>
      <c r="L64" s="141"/>
      <c r="M64" s="141"/>
      <c r="N64" s="146"/>
    </row>
    <row r="65" spans="2:14" s="125" customFormat="1" ht="15.95" customHeight="1" x14ac:dyDescent="0.15">
      <c r="B65" s="2" t="s">
        <v>45</v>
      </c>
      <c r="C65" s="295" t="s">
        <v>208</v>
      </c>
      <c r="D65" s="295"/>
      <c r="E65" s="47">
        <f>PERC_SUBSTITUTO_AFAST_MATERN</f>
        <v>0.14000000000000001</v>
      </c>
      <c r="F65" s="46">
        <f>PERC_SUBSTITUTO_AFAST_MATERN%*(MOD_1_REMUNERACAO_SERV+MOD_2_ENCARGOS_BENEFICIOS_SERV+MOD_3_PROVISAO_RESCISAO_SERV)</f>
        <v>5.34</v>
      </c>
      <c r="H65" s="146"/>
      <c r="I65" s="146"/>
      <c r="J65" s="146"/>
      <c r="K65" s="146"/>
      <c r="L65" s="141"/>
      <c r="M65" s="141"/>
      <c r="N65" s="146"/>
    </row>
    <row r="66" spans="2:14" s="125" customFormat="1" ht="15.95" customHeight="1" x14ac:dyDescent="0.15">
      <c r="B66" s="2" t="s">
        <v>94</v>
      </c>
      <c r="C66" s="304" t="str">
        <f>OUTRAS_AUSENCIAS_DESCRICAO</f>
        <v>Outras Ausências (Especificar em %)</v>
      </c>
      <c r="D66" s="294"/>
      <c r="E66" s="43">
        <f>PERC_SUBSTITUTO_OUTRAS_AUSENCIAS</f>
        <v>0</v>
      </c>
      <c r="F66" s="27">
        <f>PERC_SUBSTITUTO_OUTRAS_AUSENCIAS%*(MOD_1_REMUNERACAO_SERV+MOD_2_ENCARGOS_BENEFICIOS_SERV+MOD_3_PROVISAO_RESCISAO_SERV)</f>
        <v>0</v>
      </c>
      <c r="H66" s="146"/>
      <c r="I66" s="146"/>
      <c r="J66" s="146"/>
      <c r="K66" s="146"/>
      <c r="L66" s="141"/>
      <c r="M66" s="141"/>
      <c r="N66" s="146"/>
    </row>
    <row r="67" spans="2:14" s="125" customFormat="1" ht="15.95" customHeight="1" x14ac:dyDescent="0.3">
      <c r="B67" s="232" t="s">
        <v>15</v>
      </c>
      <c r="C67" s="233"/>
      <c r="D67" s="233"/>
      <c r="E67" s="234"/>
      <c r="F67" s="32">
        <f>SUM(F61:F66)</f>
        <v>409.99</v>
      </c>
      <c r="H67" s="146"/>
      <c r="I67" s="146"/>
      <c r="J67" s="146"/>
      <c r="K67" s="146"/>
      <c r="L67" s="141"/>
      <c r="M67" s="141"/>
      <c r="N67" s="146"/>
    </row>
    <row r="68" spans="2:14" s="125" customFormat="1" x14ac:dyDescent="0.3">
      <c r="B68" s="41" t="s">
        <v>102</v>
      </c>
      <c r="C68" s="5"/>
      <c r="D68" s="12"/>
      <c r="E68" s="10"/>
      <c r="F68" s="10"/>
      <c r="H68" s="146"/>
      <c r="I68" s="146"/>
      <c r="J68" s="146"/>
      <c r="K68" s="146"/>
      <c r="L68" s="141"/>
      <c r="M68" s="141"/>
      <c r="N68" s="146"/>
    </row>
    <row r="69" spans="2:14" s="125" customFormat="1" x14ac:dyDescent="0.15">
      <c r="B69" s="1" t="s">
        <v>103</v>
      </c>
      <c r="C69" s="212" t="s">
        <v>104</v>
      </c>
      <c r="D69" s="212"/>
      <c r="E69" s="212"/>
      <c r="F69" s="116" t="s">
        <v>110</v>
      </c>
      <c r="H69" s="146"/>
      <c r="I69" s="146"/>
      <c r="J69" s="146"/>
      <c r="K69" s="146"/>
      <c r="L69" s="141"/>
      <c r="M69" s="141"/>
      <c r="N69" s="146"/>
    </row>
    <row r="70" spans="2:14" s="125" customFormat="1" x14ac:dyDescent="0.15">
      <c r="B70" s="1" t="s">
        <v>31</v>
      </c>
      <c r="C70" s="295" t="s">
        <v>222</v>
      </c>
      <c r="D70" s="295"/>
      <c r="E70" s="295"/>
      <c r="F70" s="45">
        <f>IF(DIAS_TRABALHADOS_NO_MES=15,((MOD_1_REMUNERACAO_SERV+MOD_2_ENCARGOS_BENEFICIOS_SERV+MOD_3_PROVISAO_RESCISAO_SERV)/DIVISOR_DE_HORAS)*((TEMPO_INTERVALO_REFEICAO/HORA_NORMAL)+PERC_HORA_EXTRA%)*DIAS_TRABALHADOS_NO_MES,0)</f>
        <v>0</v>
      </c>
      <c r="H70" s="146"/>
      <c r="I70" s="146"/>
      <c r="J70" s="146"/>
      <c r="K70" s="146"/>
      <c r="L70" s="141"/>
      <c r="M70" s="141"/>
      <c r="N70" s="146"/>
    </row>
    <row r="71" spans="2:14" s="125" customFormat="1" x14ac:dyDescent="0.3">
      <c r="B71" s="212" t="s">
        <v>15</v>
      </c>
      <c r="C71" s="212"/>
      <c r="D71" s="212"/>
      <c r="E71" s="212"/>
      <c r="F71" s="32">
        <f>SUM(F70)</f>
        <v>0</v>
      </c>
      <c r="H71" s="146"/>
      <c r="I71" s="146"/>
      <c r="J71" s="146"/>
      <c r="K71" s="146"/>
      <c r="L71" s="141"/>
      <c r="M71" s="141"/>
      <c r="N71" s="146"/>
    </row>
    <row r="72" spans="2:14" s="125" customFormat="1" x14ac:dyDescent="0.3">
      <c r="B72" s="41" t="s">
        <v>108</v>
      </c>
      <c r="C72" s="5"/>
      <c r="D72" s="5"/>
      <c r="E72" s="10"/>
      <c r="F72" s="10"/>
      <c r="H72" s="146"/>
      <c r="I72" s="146"/>
      <c r="J72" s="146"/>
      <c r="K72" s="146"/>
      <c r="L72" s="141"/>
      <c r="M72" s="141"/>
      <c r="N72" s="146"/>
    </row>
    <row r="73" spans="2:14" s="125" customFormat="1" x14ac:dyDescent="0.15">
      <c r="B73" s="39">
        <v>5</v>
      </c>
      <c r="C73" s="235" t="s">
        <v>109</v>
      </c>
      <c r="D73" s="235"/>
      <c r="E73" s="235"/>
      <c r="F73" s="40" t="s">
        <v>110</v>
      </c>
      <c r="H73" s="141"/>
      <c r="I73" s="141"/>
      <c r="J73" s="141"/>
      <c r="K73" s="141"/>
      <c r="L73" s="141"/>
      <c r="M73" s="141"/>
      <c r="N73" s="146"/>
    </row>
    <row r="74" spans="2:14" s="125" customFormat="1" x14ac:dyDescent="0.3">
      <c r="B74" s="35" t="s">
        <v>31</v>
      </c>
      <c r="C74" s="209" t="s">
        <v>223</v>
      </c>
      <c r="D74" s="209"/>
      <c r="E74" s="209"/>
      <c r="F74" s="48">
        <f>'INSERÇÃO-DE-DADOS'!F61</f>
        <v>63.8</v>
      </c>
      <c r="H74" s="141"/>
      <c r="I74" s="141"/>
      <c r="J74" s="141"/>
      <c r="K74" s="141"/>
      <c r="L74" s="141"/>
      <c r="M74" s="141"/>
      <c r="N74" s="146"/>
    </row>
    <row r="75" spans="2:14" x14ac:dyDescent="0.3">
      <c r="B75" s="35" t="s">
        <v>34</v>
      </c>
      <c r="C75" s="211" t="s">
        <v>224</v>
      </c>
      <c r="D75" s="211"/>
      <c r="E75" s="211"/>
      <c r="F75" s="48">
        <f>'INSERÇÃO-DE-DADOS'!F64</f>
        <v>767.11</v>
      </c>
      <c r="L75" s="141"/>
      <c r="M75" s="141"/>
      <c r="N75" s="146"/>
    </row>
    <row r="76" spans="2:14" x14ac:dyDescent="0.3">
      <c r="B76" s="35" t="s">
        <v>38</v>
      </c>
      <c r="C76" s="209" t="s">
        <v>225</v>
      </c>
      <c r="D76" s="209"/>
      <c r="E76" s="209"/>
      <c r="F76" s="48">
        <f>'INSERÇÃO-DE-DADOS'!F67</f>
        <v>79.19</v>
      </c>
      <c r="L76" s="141"/>
      <c r="M76" s="141"/>
      <c r="N76" s="146"/>
    </row>
    <row r="77" spans="2:14" ht="15.75" customHeight="1" x14ac:dyDescent="0.3">
      <c r="B77" s="35" t="s">
        <v>42</v>
      </c>
      <c r="C77" s="305" t="str">
        <f>OUTROS_INSUMOS_DESCRICAO</f>
        <v>Outros Insumos (Especificar)</v>
      </c>
      <c r="D77" s="211"/>
      <c r="E77" s="211"/>
      <c r="F77" s="37">
        <f>OUTROS_INSUMOS</f>
        <v>0</v>
      </c>
      <c r="L77" s="141"/>
      <c r="M77" s="141"/>
      <c r="N77" s="141"/>
    </row>
    <row r="78" spans="2:14" x14ac:dyDescent="0.3">
      <c r="B78" s="303" t="s">
        <v>15</v>
      </c>
      <c r="C78" s="303"/>
      <c r="D78" s="303"/>
      <c r="E78" s="303"/>
      <c r="F78" s="34">
        <f>SUM(F74:F77)</f>
        <v>910.1</v>
      </c>
      <c r="L78" s="141"/>
      <c r="M78" s="141"/>
    </row>
    <row r="79" spans="2:14" x14ac:dyDescent="0.3">
      <c r="B79" s="225" t="s">
        <v>130</v>
      </c>
      <c r="C79" s="225"/>
      <c r="D79" s="225"/>
      <c r="E79" s="225"/>
      <c r="F79" s="225"/>
      <c r="L79" s="141"/>
      <c r="M79" s="141"/>
    </row>
    <row r="80" spans="2:14" x14ac:dyDescent="0.3">
      <c r="B80" s="1">
        <v>6</v>
      </c>
      <c r="C80" s="212" t="s">
        <v>131</v>
      </c>
      <c r="D80" s="212"/>
      <c r="E80" s="116" t="s">
        <v>100</v>
      </c>
      <c r="F80" s="116" t="s">
        <v>110</v>
      </c>
      <c r="L80" s="141"/>
      <c r="M80" s="141"/>
    </row>
    <row r="81" spans="2:14" x14ac:dyDescent="0.3">
      <c r="B81" s="1" t="s">
        <v>31</v>
      </c>
      <c r="C81" s="295" t="s">
        <v>132</v>
      </c>
      <c r="D81" s="295"/>
      <c r="E81" s="49">
        <f>PERC_CUSTOS_INDIRETOS</f>
        <v>4.7300000000000004</v>
      </c>
      <c r="F81" s="46">
        <f>PERC_CUSTOS_INDIRETOS%*(MOD_1_REMUNERACAO_SERV+MOD_2_ENCARGOS_BENEFICIOS_SERV+MOD_3_PROVISAO_RESCISAO_SERV+MOD_4_CUSTO_REPOSICAO_SERV+MOD_5_INSUMOS_SERV)</f>
        <v>242.84</v>
      </c>
      <c r="L81" s="141"/>
      <c r="M81" s="141"/>
    </row>
    <row r="82" spans="2:14" x14ac:dyDescent="0.3">
      <c r="B82" s="2" t="s">
        <v>34</v>
      </c>
      <c r="C82" s="294" t="s">
        <v>133</v>
      </c>
      <c r="D82" s="294"/>
      <c r="E82" s="38">
        <f>PERC_LUCRO</f>
        <v>5.57</v>
      </c>
      <c r="F82" s="27">
        <f>PERC_LUCRO%*(MOD_1_REMUNERACAO_SERV+MOD_2_ENCARGOS_BENEFICIOS_SERV+MOD_3_PROVISAO_RESCISAO_SERV+MOD_4_CUSTO_REPOSICAO_SERV+MOD_5_INSUMOS_SERV+AL_6_A_CUSTOS_INDIRETOS_SERV)</f>
        <v>299.49</v>
      </c>
      <c r="L82" s="141"/>
      <c r="M82" s="141"/>
    </row>
    <row r="83" spans="2:14" ht="15" customHeight="1" x14ac:dyDescent="0.3">
      <c r="B83" s="2" t="s">
        <v>38</v>
      </c>
      <c r="C83" s="295" t="s">
        <v>226</v>
      </c>
      <c r="D83" s="295"/>
      <c r="E83" s="49">
        <f>SUM(E84:E86)</f>
        <v>8.65</v>
      </c>
      <c r="F83" s="46">
        <f>SUM(F84:F86)</f>
        <v>537.49</v>
      </c>
      <c r="L83" s="141"/>
      <c r="M83" s="141"/>
    </row>
    <row r="84" spans="2:14" x14ac:dyDescent="0.3">
      <c r="B84" s="21" t="s">
        <v>134</v>
      </c>
      <c r="C84" s="301" t="s">
        <v>135</v>
      </c>
      <c r="D84" s="301"/>
      <c r="E84" s="22">
        <f>PERC_PIS</f>
        <v>0.65</v>
      </c>
      <c r="F84" s="51">
        <f>((MOD_1_REMUNERACAO_SERV+MOD_2_ENCARGOS_BENEFICIOS_SERV+MOD_3_PROVISAO_RESCISAO_SERV+MOD_4_CUSTO_REPOSICAO_SERV+MOD_5_INSUMOS_SERV+AL_6_A_CUSTOS_INDIRETOS_SERV+AL_6_B_LUCRO_SERV)*PERC_PIS%)/(1-PERC_TRIBUTOS%)</f>
        <v>40.39</v>
      </c>
      <c r="L84" s="141"/>
      <c r="M84" s="141"/>
    </row>
    <row r="85" spans="2:14" x14ac:dyDescent="0.3">
      <c r="B85" s="21" t="s">
        <v>136</v>
      </c>
      <c r="C85" s="302" t="s">
        <v>137</v>
      </c>
      <c r="D85" s="302"/>
      <c r="E85" s="50">
        <f>PERC_COFINS</f>
        <v>3</v>
      </c>
      <c r="F85" s="52">
        <f>((MOD_1_REMUNERACAO_SERV+MOD_2_ENCARGOS_BENEFICIOS_SERV+MOD_3_PROVISAO_RESCISAO_SERV+MOD_4_CUSTO_REPOSICAO_SERV+MOD_5_INSUMOS_SERV+AL_6_A_CUSTOS_INDIRETOS_SERV+AL_6_B_LUCRO_SERV)*PERC_COFINS%)/(1-PERC_TRIBUTOS%)</f>
        <v>186.41</v>
      </c>
      <c r="L85" s="141"/>
      <c r="M85" s="141"/>
    </row>
    <row r="86" spans="2:14" ht="15.75" customHeight="1" x14ac:dyDescent="0.3">
      <c r="B86" s="21" t="s">
        <v>138</v>
      </c>
      <c r="C86" s="301" t="s">
        <v>139</v>
      </c>
      <c r="D86" s="301"/>
      <c r="E86" s="22">
        <f>PERC_ISS</f>
        <v>5</v>
      </c>
      <c r="F86" s="51">
        <f>((MOD_1_REMUNERACAO_SERV+MOD_2_ENCARGOS_BENEFICIOS_SERV+MOD_3_PROVISAO_RESCISAO_SERV+MOD_4_CUSTO_REPOSICAO_SERV+MOD_5_INSUMOS_SERV+AL_6_A_CUSTOS_INDIRETOS_SERV+AL_6_B_LUCRO_SERV)*PERC_ISS%)/(1-PERC_TRIBUTOS%)</f>
        <v>310.69</v>
      </c>
      <c r="L86" s="141"/>
      <c r="M86" s="141"/>
    </row>
    <row r="87" spans="2:14" x14ac:dyDescent="0.3">
      <c r="B87" s="232" t="s">
        <v>15</v>
      </c>
      <c r="C87" s="233"/>
      <c r="D87" s="233"/>
      <c r="E87" s="234"/>
      <c r="F87" s="28">
        <f>AL_6_A_CUSTOS_INDIRETOS_SERV+AL_6_B_LUCRO_SERV+AL_6_C_TRIBUTOS_SERV</f>
        <v>1079.82</v>
      </c>
      <c r="L87" s="141"/>
      <c r="M87" s="141"/>
    </row>
    <row r="88" spans="2:14" ht="15.75" customHeight="1" x14ac:dyDescent="0.3">
      <c r="B88" s="42" t="s">
        <v>227</v>
      </c>
      <c r="C88" s="8"/>
      <c r="D88" s="8"/>
      <c r="E88" s="8"/>
      <c r="F88" s="13"/>
      <c r="L88" s="141"/>
      <c r="M88" s="141"/>
    </row>
    <row r="89" spans="2:14" x14ac:dyDescent="0.3">
      <c r="B89" s="2" t="s">
        <v>228</v>
      </c>
      <c r="C89" s="226" t="s">
        <v>229</v>
      </c>
      <c r="D89" s="227"/>
      <c r="E89" s="228"/>
      <c r="F89" s="116" t="s">
        <v>230</v>
      </c>
      <c r="L89" s="141"/>
      <c r="M89" s="141"/>
    </row>
    <row r="90" spans="2:14" s="134" customFormat="1" x14ac:dyDescent="0.3">
      <c r="B90" s="1">
        <v>1</v>
      </c>
      <c r="C90" s="295" t="s">
        <v>75</v>
      </c>
      <c r="D90" s="295"/>
      <c r="E90" s="295"/>
      <c r="F90" s="46">
        <f>MOD_1_REMUNERACAO_SERV</f>
        <v>1743.69</v>
      </c>
      <c r="H90" s="141"/>
      <c r="I90" s="141"/>
      <c r="J90" s="141"/>
      <c r="K90" s="141"/>
      <c r="L90" s="141"/>
      <c r="M90" s="141"/>
      <c r="N90" s="72"/>
    </row>
    <row r="91" spans="2:14" s="134" customFormat="1" x14ac:dyDescent="0.3">
      <c r="B91" s="2">
        <v>2</v>
      </c>
      <c r="C91" s="294" t="s">
        <v>231</v>
      </c>
      <c r="D91" s="294"/>
      <c r="E91" s="294"/>
      <c r="F91" s="27">
        <f>MOD_2_ENCARGOS_BENEFICIOS_SERV</f>
        <v>2022.26</v>
      </c>
      <c r="H91" s="141"/>
      <c r="I91" s="141"/>
      <c r="J91" s="141"/>
      <c r="K91" s="141"/>
      <c r="L91" s="141"/>
      <c r="M91" s="141"/>
      <c r="N91" s="72"/>
    </row>
    <row r="92" spans="2:14" s="134" customFormat="1" x14ac:dyDescent="0.3">
      <c r="B92" s="2">
        <v>3</v>
      </c>
      <c r="C92" s="295" t="s">
        <v>157</v>
      </c>
      <c r="D92" s="295"/>
      <c r="E92" s="295"/>
      <c r="F92" s="46">
        <f>MOD_3_PROVISAO_RESCISAO_SERV</f>
        <v>47.9</v>
      </c>
      <c r="H92" s="141"/>
      <c r="I92" s="141"/>
      <c r="J92" s="141"/>
      <c r="K92" s="141"/>
      <c r="L92" s="141"/>
      <c r="M92" s="141"/>
      <c r="N92" s="72"/>
    </row>
    <row r="93" spans="2:14" s="135" customFormat="1" ht="16.5" customHeight="1" x14ac:dyDescent="0.3">
      <c r="B93" s="2">
        <v>4</v>
      </c>
      <c r="C93" s="294" t="s">
        <v>232</v>
      </c>
      <c r="D93" s="294"/>
      <c r="E93" s="294"/>
      <c r="F93" s="27">
        <f>MOD_4_CUSTO_REPOSICAO_SERV</f>
        <v>409.99</v>
      </c>
      <c r="H93" s="141"/>
      <c r="I93" s="141"/>
      <c r="J93" s="141"/>
      <c r="K93" s="141"/>
      <c r="L93" s="141"/>
      <c r="M93" s="141"/>
      <c r="N93" s="72"/>
    </row>
    <row r="94" spans="2:14" s="134" customFormat="1" x14ac:dyDescent="0.3">
      <c r="B94" s="2">
        <v>5</v>
      </c>
      <c r="C94" s="295" t="s">
        <v>109</v>
      </c>
      <c r="D94" s="295"/>
      <c r="E94" s="295"/>
      <c r="F94" s="46">
        <f>MOD_5_INSUMOS_SERV</f>
        <v>910.1</v>
      </c>
      <c r="H94" s="141"/>
      <c r="I94" s="141"/>
      <c r="J94" s="141"/>
      <c r="K94" s="141"/>
      <c r="L94" s="141"/>
      <c r="M94" s="141"/>
      <c r="N94" s="72"/>
    </row>
    <row r="95" spans="2:14" s="136" customFormat="1" ht="16.5" customHeight="1" x14ac:dyDescent="0.3">
      <c r="B95" s="2">
        <v>6</v>
      </c>
      <c r="C95" s="294" t="s">
        <v>131</v>
      </c>
      <c r="D95" s="294"/>
      <c r="E95" s="294"/>
      <c r="F95" s="27">
        <f>MOD_6_CUSTOS_IND_LUCRO_TRIB_SERV</f>
        <v>1079.82</v>
      </c>
      <c r="H95" s="141"/>
      <c r="I95" s="141"/>
      <c r="J95" s="141"/>
      <c r="K95" s="141"/>
      <c r="L95" s="141"/>
      <c r="M95" s="141"/>
      <c r="N95" s="72"/>
    </row>
    <row r="96" spans="2:14" s="136" customFormat="1" x14ac:dyDescent="0.3">
      <c r="B96" s="297" t="s">
        <v>236</v>
      </c>
      <c r="C96" s="297"/>
      <c r="D96" s="297"/>
      <c r="E96" s="297"/>
      <c r="F96" s="28">
        <f>SUM(F90:F95)</f>
        <v>6213.76</v>
      </c>
      <c r="H96" s="141"/>
      <c r="I96" s="141"/>
      <c r="J96" s="141"/>
      <c r="K96" s="141"/>
      <c r="L96" s="141"/>
      <c r="M96" s="141"/>
      <c r="N96" s="72"/>
    </row>
    <row r="97" spans="2:14" s="136" customFormat="1" x14ac:dyDescent="0.3">
      <c r="B97" s="6"/>
      <c r="C97" s="9"/>
      <c r="D97" s="9"/>
      <c r="E97" s="9"/>
      <c r="F97" s="9"/>
      <c r="H97" s="141"/>
      <c r="I97" s="141"/>
      <c r="J97" s="141"/>
      <c r="K97" s="141"/>
      <c r="L97" s="141"/>
      <c r="M97" s="141"/>
      <c r="N97" s="72"/>
    </row>
    <row r="98" spans="2:14" ht="16.5" customHeight="1" x14ac:dyDescent="0.3">
      <c r="L98" s="141"/>
      <c r="M98" s="141"/>
    </row>
    <row r="99" spans="2:14" ht="16.5" customHeight="1" x14ac:dyDescent="0.3">
      <c r="L99" s="141"/>
      <c r="M99" s="141"/>
    </row>
    <row r="100" spans="2:14" x14ac:dyDescent="0.3">
      <c r="L100" s="141"/>
      <c r="M100" s="141"/>
    </row>
    <row r="101" spans="2:14" x14ac:dyDescent="0.3">
      <c r="L101" s="141"/>
      <c r="M101" s="141"/>
    </row>
    <row r="102" spans="2:14" x14ac:dyDescent="0.3">
      <c r="L102" s="141"/>
      <c r="M102" s="141"/>
    </row>
    <row r="103" spans="2:14" x14ac:dyDescent="0.3">
      <c r="L103" s="141"/>
      <c r="M103" s="141"/>
    </row>
    <row r="104" spans="2:14" x14ac:dyDescent="0.3">
      <c r="L104" s="141"/>
      <c r="M104" s="141"/>
    </row>
    <row r="105" spans="2:14" x14ac:dyDescent="0.3">
      <c r="L105" s="141"/>
      <c r="M105" s="141"/>
    </row>
    <row r="106" spans="2:14" x14ac:dyDescent="0.3">
      <c r="L106" s="141"/>
      <c r="M106" s="141"/>
      <c r="N106" s="141"/>
    </row>
    <row r="107" spans="2:14" x14ac:dyDescent="0.3">
      <c r="L107" s="141"/>
      <c r="M107" s="141"/>
      <c r="N107" s="141"/>
    </row>
    <row r="108" spans="2:14" x14ac:dyDescent="0.3">
      <c r="L108" s="141"/>
      <c r="M108" s="141"/>
      <c r="N108" s="141"/>
    </row>
    <row r="109" spans="2:14" x14ac:dyDescent="0.3">
      <c r="L109" s="141"/>
      <c r="M109" s="141"/>
      <c r="N109" s="141"/>
    </row>
    <row r="110" spans="2:14" x14ac:dyDescent="0.3">
      <c r="L110" s="141"/>
      <c r="M110" s="141"/>
      <c r="N110" s="141"/>
    </row>
    <row r="111" spans="2:14" x14ac:dyDescent="0.3">
      <c r="L111" s="141"/>
      <c r="M111" s="141"/>
      <c r="N111" s="141"/>
    </row>
    <row r="112" spans="2:14" x14ac:dyDescent="0.3">
      <c r="L112" s="141"/>
      <c r="M112" s="141"/>
      <c r="N112" s="141"/>
    </row>
    <row r="113" spans="8:14" x14ac:dyDescent="0.3">
      <c r="H113" s="147"/>
      <c r="I113" s="147"/>
      <c r="J113" s="147"/>
      <c r="K113" s="147"/>
      <c r="L113" s="147"/>
      <c r="M113" s="147"/>
      <c r="N113" s="147"/>
    </row>
    <row r="114" spans="8:14" x14ac:dyDescent="0.3">
      <c r="H114" s="147"/>
      <c r="I114" s="147"/>
      <c r="J114" s="147"/>
      <c r="K114" s="147"/>
      <c r="L114" s="147"/>
      <c r="M114" s="147"/>
      <c r="N114" s="147"/>
    </row>
    <row r="115" spans="8:14" x14ac:dyDescent="0.3">
      <c r="H115" s="147"/>
      <c r="I115" s="147"/>
      <c r="J115" s="147"/>
      <c r="K115" s="147"/>
      <c r="L115" s="147"/>
      <c r="M115" s="147"/>
      <c r="N115" s="147"/>
    </row>
    <row r="116" spans="8:14" x14ac:dyDescent="0.3">
      <c r="H116" s="147"/>
      <c r="I116" s="147"/>
      <c r="J116" s="147"/>
      <c r="K116" s="147"/>
      <c r="L116" s="147"/>
      <c r="M116" s="147"/>
      <c r="N116" s="147"/>
    </row>
    <row r="117" spans="8:14" x14ac:dyDescent="0.3">
      <c r="H117" s="147"/>
      <c r="I117" s="147"/>
      <c r="J117" s="147"/>
      <c r="K117" s="147"/>
      <c r="L117" s="147"/>
      <c r="M117" s="147"/>
      <c r="N117" s="147"/>
    </row>
    <row r="118" spans="8:14" x14ac:dyDescent="0.3">
      <c r="H118" s="148"/>
      <c r="I118" s="148"/>
      <c r="J118" s="148"/>
      <c r="K118" s="148"/>
      <c r="L118" s="148"/>
      <c r="M118" s="148"/>
      <c r="N118" s="148"/>
    </row>
    <row r="119" spans="8:14" x14ac:dyDescent="0.3">
      <c r="H119" s="147"/>
      <c r="I119" s="147"/>
      <c r="J119" s="147"/>
      <c r="K119" s="147"/>
      <c r="L119" s="147"/>
      <c r="M119" s="147"/>
      <c r="N119" s="147"/>
    </row>
    <row r="120" spans="8:14" x14ac:dyDescent="0.3">
      <c r="H120" s="149"/>
      <c r="I120" s="149"/>
      <c r="J120" s="149"/>
      <c r="K120" s="149"/>
      <c r="L120" s="149"/>
      <c r="M120" s="149"/>
      <c r="N120" s="149"/>
    </row>
    <row r="121" spans="8:14" x14ac:dyDescent="0.3">
      <c r="H121" s="149"/>
      <c r="I121" s="149"/>
      <c r="J121" s="149"/>
      <c r="K121" s="149"/>
      <c r="L121" s="149"/>
      <c r="M121" s="149"/>
      <c r="N121" s="149"/>
    </row>
    <row r="122" spans="8:14" x14ac:dyDescent="0.3">
      <c r="H122" s="149"/>
      <c r="I122" s="149"/>
      <c r="J122" s="149"/>
      <c r="K122" s="149"/>
      <c r="L122" s="149"/>
      <c r="M122" s="149"/>
      <c r="N122" s="149"/>
    </row>
    <row r="123" spans="8:14" x14ac:dyDescent="0.3">
      <c r="H123" s="149"/>
      <c r="I123" s="149"/>
      <c r="J123" s="149"/>
      <c r="K123" s="149"/>
      <c r="L123" s="149"/>
      <c r="M123" s="149"/>
      <c r="N123" s="149"/>
    </row>
    <row r="124" spans="8:14" x14ac:dyDescent="0.3">
      <c r="H124" s="149"/>
      <c r="I124" s="149"/>
      <c r="J124" s="149"/>
      <c r="K124" s="149"/>
      <c r="L124" s="149"/>
      <c r="M124" s="149"/>
      <c r="N124" s="149"/>
    </row>
    <row r="125" spans="8:14" x14ac:dyDescent="0.3">
      <c r="L125" s="141"/>
      <c r="M125" s="141"/>
      <c r="N125" s="141"/>
    </row>
    <row r="126" spans="8:14" x14ac:dyDescent="0.3">
      <c r="L126" s="141"/>
      <c r="M126" s="141"/>
      <c r="N126" s="141"/>
    </row>
    <row r="127" spans="8:14" x14ac:dyDescent="0.3">
      <c r="L127" s="141"/>
      <c r="M127" s="141"/>
      <c r="N127" s="141"/>
    </row>
    <row r="128" spans="8:14" x14ac:dyDescent="0.3">
      <c r="L128" s="141"/>
      <c r="M128" s="141"/>
      <c r="N128" s="141"/>
    </row>
    <row r="129" spans="8:14" x14ac:dyDescent="0.3">
      <c r="L129" s="141"/>
      <c r="M129" s="141"/>
      <c r="N129" s="141"/>
    </row>
    <row r="130" spans="8:14" x14ac:dyDescent="0.3">
      <c r="L130" s="141"/>
      <c r="M130" s="141"/>
      <c r="N130" s="141"/>
    </row>
    <row r="131" spans="8:14" x14ac:dyDescent="0.3">
      <c r="L131" s="141"/>
      <c r="M131" s="141"/>
      <c r="N131" s="141"/>
    </row>
    <row r="141" spans="8:14" x14ac:dyDescent="0.3">
      <c r="H141" s="72"/>
      <c r="I141" s="72"/>
      <c r="J141" s="72"/>
      <c r="K141" s="72"/>
    </row>
    <row r="142" spans="8:14" x14ac:dyDescent="0.3">
      <c r="H142" s="72"/>
      <c r="I142" s="72"/>
      <c r="J142" s="72"/>
      <c r="K142" s="72"/>
    </row>
    <row r="143" spans="8:14" x14ac:dyDescent="0.3">
      <c r="H143" s="72"/>
      <c r="I143" s="72"/>
      <c r="J143" s="72"/>
      <c r="K143" s="72"/>
    </row>
    <row r="144" spans="8:14" x14ac:dyDescent="0.3">
      <c r="H144" s="72"/>
      <c r="I144" s="72"/>
      <c r="J144" s="72"/>
      <c r="K144" s="72"/>
    </row>
    <row r="145" spans="8:11" x14ac:dyDescent="0.3">
      <c r="H145" s="72"/>
      <c r="I145" s="72"/>
      <c r="J145" s="72"/>
      <c r="K145" s="72"/>
    </row>
    <row r="146" spans="8:11" x14ac:dyDescent="0.3">
      <c r="H146" s="72"/>
      <c r="I146" s="72"/>
      <c r="J146" s="72"/>
      <c r="K146" s="72"/>
    </row>
    <row r="147" spans="8:11" x14ac:dyDescent="0.3">
      <c r="H147" s="72"/>
      <c r="I147" s="72"/>
      <c r="J147" s="72"/>
      <c r="K147" s="72"/>
    </row>
    <row r="148" spans="8:11" x14ac:dyDescent="0.3">
      <c r="H148" s="72"/>
      <c r="I148" s="72"/>
      <c r="J148" s="72"/>
      <c r="K148" s="72"/>
    </row>
    <row r="149" spans="8:11" x14ac:dyDescent="0.3">
      <c r="H149" s="72"/>
      <c r="I149" s="72"/>
      <c r="J149" s="72"/>
      <c r="K149" s="72"/>
    </row>
    <row r="150" spans="8:11" x14ac:dyDescent="0.3">
      <c r="H150" s="72"/>
      <c r="I150" s="72"/>
      <c r="J150" s="72"/>
      <c r="K150" s="72"/>
    </row>
  </sheetData>
  <mergeCells count="88">
    <mergeCell ref="C92:E92"/>
    <mergeCell ref="C93:E93"/>
    <mergeCell ref="C94:E94"/>
    <mergeCell ref="C95:E95"/>
    <mergeCell ref="B96:E96"/>
    <mergeCell ref="C91:E91"/>
    <mergeCell ref="B79:F79"/>
    <mergeCell ref="C80:D80"/>
    <mergeCell ref="C81:D81"/>
    <mergeCell ref="C82:D82"/>
    <mergeCell ref="C83:D83"/>
    <mergeCell ref="C84:D84"/>
    <mergeCell ref="C85:D85"/>
    <mergeCell ref="C86:D86"/>
    <mergeCell ref="B87:E87"/>
    <mergeCell ref="C89:E89"/>
    <mergeCell ref="C90:E90"/>
    <mergeCell ref="B78:E78"/>
    <mergeCell ref="C65:D65"/>
    <mergeCell ref="C66:D66"/>
    <mergeCell ref="B67:E67"/>
    <mergeCell ref="C69:E69"/>
    <mergeCell ref="C70:E70"/>
    <mergeCell ref="B71:E71"/>
    <mergeCell ref="C73:E73"/>
    <mergeCell ref="C74:E74"/>
    <mergeCell ref="C75:E75"/>
    <mergeCell ref="C76:E76"/>
    <mergeCell ref="C77:E77"/>
    <mergeCell ref="C64:D64"/>
    <mergeCell ref="C54:D54"/>
    <mergeCell ref="C55:D55"/>
    <mergeCell ref="C56:D56"/>
    <mergeCell ref="B57:E57"/>
    <mergeCell ref="C60:D60"/>
    <mergeCell ref="C61:D61"/>
    <mergeCell ref="C62:D62"/>
    <mergeCell ref="C63:D63"/>
    <mergeCell ref="C53:D53"/>
    <mergeCell ref="C40:D40"/>
    <mergeCell ref="C41:D41"/>
    <mergeCell ref="C42:D42"/>
    <mergeCell ref="B43:E43"/>
    <mergeCell ref="C45:E45"/>
    <mergeCell ref="C46:E46"/>
    <mergeCell ref="C47:E47"/>
    <mergeCell ref="C48:E48"/>
    <mergeCell ref="C49:E49"/>
    <mergeCell ref="C50:E50"/>
    <mergeCell ref="B51:E51"/>
    <mergeCell ref="C39:D39"/>
    <mergeCell ref="B26:E26"/>
    <mergeCell ref="C29:D29"/>
    <mergeCell ref="C30:D30"/>
    <mergeCell ref="C31:D31"/>
    <mergeCell ref="B32:E32"/>
    <mergeCell ref="B33:F33"/>
    <mergeCell ref="C34:D34"/>
    <mergeCell ref="C35:D35"/>
    <mergeCell ref="C36:D36"/>
    <mergeCell ref="C37:D37"/>
    <mergeCell ref="C38:D38"/>
    <mergeCell ref="D15:F15"/>
    <mergeCell ref="C10:E10"/>
    <mergeCell ref="C11:E11"/>
    <mergeCell ref="C12:E12"/>
    <mergeCell ref="C14:D14"/>
    <mergeCell ref="E14:F14"/>
    <mergeCell ref="C25:E25"/>
    <mergeCell ref="C22:E22"/>
    <mergeCell ref="D16:F16"/>
    <mergeCell ref="C17:E17"/>
    <mergeCell ref="B18:F18"/>
    <mergeCell ref="C20:E20"/>
    <mergeCell ref="C21:E21"/>
    <mergeCell ref="C23:E23"/>
    <mergeCell ref="C24:E24"/>
    <mergeCell ref="B1:F1"/>
    <mergeCell ref="B2:D2"/>
    <mergeCell ref="B3:F3"/>
    <mergeCell ref="B4:F4"/>
    <mergeCell ref="B5:C5"/>
    <mergeCell ref="D5:F5"/>
    <mergeCell ref="C8:E8"/>
    <mergeCell ref="D9:F9"/>
    <mergeCell ref="B6:C6"/>
    <mergeCell ref="D6:E6"/>
    <mergeCell ref="B7:F7"/>
  </mergeCells>
  <printOptions horizontalCentered="1"/>
  <pageMargins left="0.08" right="0.05" top="0.19685039370078741" bottom="0.15748031496062992" header="0.19685039370078741" footer="0.15748031496062992"/>
  <pageSetup paperSize="9" scale="34" fitToWidth="0" orientation="portrait" r:id="rId1"/>
  <ignoredErrors>
    <ignoredError sqref="B1:F1 B13:F15 B4:F4 C3:F3 C17:F17 B12 C16 E16:F16 B2:E2 D12:E12 B10:F11 B9:C9 B7:F8 D5:F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99"/>
  <sheetViews>
    <sheetView topLeftCell="A66" workbookViewId="0">
      <selection activeCell="F47" sqref="F47"/>
    </sheetView>
  </sheetViews>
  <sheetFormatPr defaultRowHeight="16.5" x14ac:dyDescent="0.3"/>
  <cols>
    <col min="1" max="1" width="2.7109375" style="6" customWidth="1"/>
    <col min="2" max="2" width="8.85546875" style="6" customWidth="1"/>
    <col min="3" max="3" width="52.5703125" style="9" customWidth="1"/>
    <col min="4" max="4" width="7.85546875" style="9" customWidth="1"/>
    <col min="5" max="5" width="13.5703125" style="9" customWidth="1"/>
    <col min="6" max="6" width="15.42578125" style="9" bestFit="1" customWidth="1"/>
    <col min="7" max="16384" width="9.140625" style="6"/>
  </cols>
  <sheetData>
    <row r="1" spans="2:6" ht="20.25" customHeight="1" x14ac:dyDescent="0.35">
      <c r="B1" s="318" t="str">
        <f>RAMO</f>
        <v>RAMO: ESCOLA SUPERIOR DO MINISTÉRIO PÚBLICO DA UNIÃO</v>
      </c>
      <c r="C1" s="319"/>
      <c r="D1" s="319"/>
      <c r="E1" s="319"/>
      <c r="F1" s="320"/>
    </row>
    <row r="2" spans="2:6" ht="20.25" customHeight="1" x14ac:dyDescent="0.35">
      <c r="B2" s="321" t="str">
        <f>UG</f>
        <v>UNIDADE GESTORA (SIGLA): ESMPU</v>
      </c>
      <c r="C2" s="322"/>
      <c r="D2" s="323"/>
      <c r="E2" s="181" t="s">
        <v>3</v>
      </c>
      <c r="F2" s="182">
        <f>IF(DATA_DO_ORCAMENTO_ESTIMATIVO="","",DATA_DO_ORCAMENTO_ESTIMATIVO)</f>
        <v>45687</v>
      </c>
    </row>
    <row r="3" spans="2:6" s="125" customFormat="1" ht="25.5" customHeight="1" x14ac:dyDescent="0.5">
      <c r="B3" s="271" t="s">
        <v>237</v>
      </c>
      <c r="C3" s="271"/>
      <c r="D3" s="271"/>
      <c r="E3" s="271"/>
      <c r="F3" s="271"/>
    </row>
    <row r="4" spans="2:6" s="125" customFormat="1" ht="15.95" customHeight="1" x14ac:dyDescent="0.3">
      <c r="B4" s="246" t="s">
        <v>7</v>
      </c>
      <c r="C4" s="246"/>
      <c r="D4" s="246"/>
      <c r="E4" s="246"/>
      <c r="F4" s="246"/>
    </row>
    <row r="5" spans="2:6" s="125" customFormat="1" ht="15.95" customHeight="1" x14ac:dyDescent="0.3">
      <c r="B5" s="243" t="s">
        <v>212</v>
      </c>
      <c r="C5" s="243"/>
      <c r="D5" s="324" t="str">
        <f>NUMERO_PROCESSO</f>
        <v>0.01.000.1.003275/2024-64</v>
      </c>
      <c r="E5" s="324"/>
      <c r="F5" s="324"/>
    </row>
    <row r="6" spans="2:6" s="125" customFormat="1" ht="15.75" customHeight="1" x14ac:dyDescent="0.3">
      <c r="B6" s="275" t="s">
        <v>213</v>
      </c>
      <c r="C6" s="275"/>
      <c r="D6" s="316" t="str">
        <f>MODALIDADE_DE_LICITACAO</f>
        <v>Pregão nº</v>
      </c>
      <c r="E6" s="316"/>
      <c r="F6" s="185" t="str">
        <f>NUMERO_PREGAO</f>
        <v>XX/20XX</v>
      </c>
    </row>
    <row r="7" spans="2:6" s="125" customFormat="1" ht="15.75" customHeight="1" x14ac:dyDescent="0.3">
      <c r="B7" s="317" t="s">
        <v>214</v>
      </c>
      <c r="C7" s="317"/>
      <c r="D7" s="317"/>
      <c r="E7" s="317"/>
      <c r="F7" s="317"/>
    </row>
    <row r="8" spans="2:6" s="125" customFormat="1" ht="18" customHeight="1" x14ac:dyDescent="0.3">
      <c r="B8" s="15" t="s">
        <v>31</v>
      </c>
      <c r="C8" s="243" t="s">
        <v>32</v>
      </c>
      <c r="D8" s="243"/>
      <c r="E8" s="243"/>
      <c r="F8" s="183" t="str">
        <f>DATA_APRESENTACAO_PROPOSTA</f>
        <v>XX/XX/20XX</v>
      </c>
    </row>
    <row r="9" spans="2:6" s="125" customFormat="1" ht="15.95" customHeight="1" x14ac:dyDescent="0.15">
      <c r="B9" s="1" t="s">
        <v>34</v>
      </c>
      <c r="C9" s="55" t="s">
        <v>35</v>
      </c>
      <c r="D9" s="314" t="str">
        <f>IF(LOCAL_DE_EXECUCAO="","",LOCAL_DE_EXECUCAO)</f>
        <v>EDIFÍCIO SEDE DA ESMPU</v>
      </c>
      <c r="E9" s="314"/>
      <c r="F9" s="314"/>
    </row>
    <row r="10" spans="2:6" s="125" customFormat="1" ht="18.75" customHeight="1" x14ac:dyDescent="0.3">
      <c r="B10" s="15" t="s">
        <v>38</v>
      </c>
      <c r="C10" s="243" t="s">
        <v>43</v>
      </c>
      <c r="D10" s="243"/>
      <c r="E10" s="243"/>
      <c r="F10" s="184" t="str">
        <f>ACORDO_COLETIVO</f>
        <v>01/2025</v>
      </c>
    </row>
    <row r="11" spans="2:6" s="125" customFormat="1" ht="15.95" customHeight="1" x14ac:dyDescent="0.3">
      <c r="B11" s="1" t="s">
        <v>42</v>
      </c>
      <c r="C11" s="314" t="s">
        <v>46</v>
      </c>
      <c r="D11" s="314"/>
      <c r="E11" s="314"/>
      <c r="F11" s="20">
        <f>NUMERO_MESES_EXEC_CONTRATUAL</f>
        <v>12</v>
      </c>
    </row>
    <row r="12" spans="2:6" s="125" customFormat="1" x14ac:dyDescent="0.3">
      <c r="B12" s="1" t="s">
        <v>45</v>
      </c>
      <c r="C12" s="315" t="s">
        <v>238</v>
      </c>
      <c r="D12" s="315"/>
      <c r="E12" s="315"/>
      <c r="F12" s="53">
        <f>IF(QTDE_DE_SERV_HOSP=0,"",QTDE_DE_SERV_HOSP)</f>
        <v>1</v>
      </c>
    </row>
    <row r="13" spans="2:6" s="139" customFormat="1" ht="15" customHeight="1" x14ac:dyDescent="0.2">
      <c r="B13" s="137" t="s">
        <v>73</v>
      </c>
      <c r="C13" s="138"/>
      <c r="D13" s="138"/>
      <c r="E13" s="138"/>
      <c r="F13" s="138"/>
    </row>
    <row r="14" spans="2:6" s="125" customFormat="1" x14ac:dyDescent="0.3">
      <c r="B14" s="15">
        <v>1</v>
      </c>
      <c r="C14" s="217" t="s">
        <v>67</v>
      </c>
      <c r="D14" s="217"/>
      <c r="E14" s="257" t="str">
        <f>TIPO_DE_SERVICO</f>
        <v>Limpeza e Conservação</v>
      </c>
      <c r="F14" s="257"/>
    </row>
    <row r="15" spans="2:6" s="125" customFormat="1" ht="16.5" customHeight="1" x14ac:dyDescent="0.3">
      <c r="B15" s="15">
        <v>2</v>
      </c>
      <c r="C15" s="17" t="s">
        <v>69</v>
      </c>
      <c r="D15" s="313" t="s">
        <v>239</v>
      </c>
      <c r="E15" s="313"/>
      <c r="F15" s="313"/>
    </row>
    <row r="16" spans="2:6" s="125" customFormat="1" ht="15" customHeight="1" x14ac:dyDescent="0.3">
      <c r="B16" s="15">
        <v>3</v>
      </c>
      <c r="C16" s="44" t="s">
        <v>217</v>
      </c>
      <c r="D16" s="257" t="str">
        <f>CATEGORIA_PROFISSIONAL_SERV_HOSP</f>
        <v>Jardineiro</v>
      </c>
      <c r="E16" s="257"/>
      <c r="F16" s="257"/>
    </row>
    <row r="17" spans="2:6" s="125" customFormat="1" ht="15" customHeight="1" x14ac:dyDescent="0.3">
      <c r="B17" s="15">
        <v>4</v>
      </c>
      <c r="C17" s="278" t="s">
        <v>71</v>
      </c>
      <c r="D17" s="278"/>
      <c r="E17" s="278"/>
      <c r="F17" s="190">
        <f>DATA_BASE_CATEGORIA</f>
        <v>45658</v>
      </c>
    </row>
    <row r="18" spans="2:6" s="140" customFormat="1" ht="20.25" customHeight="1" x14ac:dyDescent="0.3">
      <c r="B18" s="312" t="s">
        <v>218</v>
      </c>
      <c r="C18" s="312"/>
      <c r="D18" s="312"/>
      <c r="E18" s="312"/>
      <c r="F18" s="312"/>
    </row>
    <row r="19" spans="2:6" x14ac:dyDescent="0.3">
      <c r="B19" s="41" t="s">
        <v>74</v>
      </c>
      <c r="E19" s="7"/>
      <c r="F19" s="7"/>
    </row>
    <row r="20" spans="2:6" ht="16.5" customHeight="1" x14ac:dyDescent="0.3">
      <c r="B20" s="1">
        <v>1</v>
      </c>
      <c r="C20" s="285" t="s">
        <v>75</v>
      </c>
      <c r="D20" s="285"/>
      <c r="E20" s="285"/>
      <c r="F20" s="116" t="s">
        <v>110</v>
      </c>
    </row>
    <row r="21" spans="2:6" x14ac:dyDescent="0.3">
      <c r="B21" s="1" t="s">
        <v>31</v>
      </c>
      <c r="C21" s="213" t="s">
        <v>219</v>
      </c>
      <c r="D21" s="213"/>
      <c r="E21" s="213"/>
      <c r="F21" s="45">
        <f>SALARIO_NORMATIVO_SERV_HOSP</f>
        <v>2574.37</v>
      </c>
    </row>
    <row r="22" spans="2:6" ht="16.5" customHeight="1" x14ac:dyDescent="0.3">
      <c r="B22" s="1" t="s">
        <v>34</v>
      </c>
      <c r="C22" s="214" t="s">
        <v>220</v>
      </c>
      <c r="D22" s="215"/>
      <c r="E22" s="216"/>
      <c r="F22" s="3">
        <f>IF(ADIC_INSALUB_SERV_HOSP="SIM",PERC_ADIC_INSALUB%*SAL_MINIMO,0)</f>
        <v>0</v>
      </c>
    </row>
    <row r="23" spans="2:6" x14ac:dyDescent="0.3">
      <c r="B23" s="1" t="s">
        <v>38</v>
      </c>
      <c r="C23" s="306" t="str">
        <f>OUTROS_REMUNERACAO_1_DESCRICAO</f>
        <v>Outras Remunerações 1 (Especificar)</v>
      </c>
      <c r="D23" s="307"/>
      <c r="E23" s="308"/>
      <c r="F23" s="45">
        <f>OUTROS_REMUNERACAO_1</f>
        <v>0</v>
      </c>
    </row>
    <row r="24" spans="2:6" ht="15.75" customHeight="1" x14ac:dyDescent="0.3">
      <c r="B24" s="1" t="s">
        <v>42</v>
      </c>
      <c r="C24" s="282" t="str">
        <f>OUTROS_REMUNERACAO_2_DESCRICAO</f>
        <v>Outras Remunerações 2 (Especificar)</v>
      </c>
      <c r="D24" s="283"/>
      <c r="E24" s="284"/>
      <c r="F24" s="3">
        <f>OUTROS_REMUNERACAO_2</f>
        <v>0</v>
      </c>
    </row>
    <row r="25" spans="2:6" ht="15.75" customHeight="1" x14ac:dyDescent="0.3">
      <c r="B25" s="1" t="s">
        <v>45</v>
      </c>
      <c r="C25" s="306" t="str">
        <f>OUTROS_REMUNERACAO_3_DESCRICAO</f>
        <v>Outras Remunerações 3 (Especificar)</v>
      </c>
      <c r="D25" s="307"/>
      <c r="E25" s="308"/>
      <c r="F25" s="45">
        <f>OUTROS_REMUNERACAO_3</f>
        <v>0</v>
      </c>
    </row>
    <row r="26" spans="2:6" ht="15.75" customHeight="1" x14ac:dyDescent="0.3">
      <c r="B26" s="309" t="s">
        <v>15</v>
      </c>
      <c r="C26" s="309"/>
      <c r="D26" s="309"/>
      <c r="E26" s="309"/>
      <c r="F26" s="31">
        <f>SUM(F21:F25)</f>
        <v>2574.37</v>
      </c>
    </row>
    <row r="27" spans="2:6" x14ac:dyDescent="0.3">
      <c r="B27" s="41" t="s">
        <v>81</v>
      </c>
      <c r="E27" s="11"/>
      <c r="F27" s="11"/>
    </row>
    <row r="28" spans="2:6" x14ac:dyDescent="0.3">
      <c r="B28" s="41" t="s">
        <v>175</v>
      </c>
      <c r="C28" s="5"/>
      <c r="D28" s="12"/>
      <c r="E28" s="10"/>
      <c r="F28" s="10"/>
    </row>
    <row r="29" spans="2:6" x14ac:dyDescent="0.3">
      <c r="B29" s="1" t="s">
        <v>176</v>
      </c>
      <c r="C29" s="212" t="s">
        <v>177</v>
      </c>
      <c r="D29" s="212"/>
      <c r="E29" s="116" t="s">
        <v>100</v>
      </c>
      <c r="F29" s="116" t="s">
        <v>110</v>
      </c>
    </row>
    <row r="30" spans="2:6" x14ac:dyDescent="0.3">
      <c r="B30" s="1" t="s">
        <v>31</v>
      </c>
      <c r="C30" s="295" t="s">
        <v>179</v>
      </c>
      <c r="D30" s="295"/>
      <c r="E30" s="47">
        <f>PERC_DEC_TERC</f>
        <v>8.33</v>
      </c>
      <c r="F30" s="46">
        <f>PERC_DEC_TERC%*MOD_1_REMUNERACAO_SERV_HOSP</f>
        <v>214.45</v>
      </c>
    </row>
    <row r="31" spans="2:6" x14ac:dyDescent="0.3">
      <c r="B31" s="2" t="s">
        <v>34</v>
      </c>
      <c r="C31" s="294" t="s">
        <v>181</v>
      </c>
      <c r="D31" s="294"/>
      <c r="E31" s="29">
        <f>PERC_ADIC_FERIAS</f>
        <v>2.78</v>
      </c>
      <c r="F31" s="27">
        <f>PERC_ADIC_FERIAS%*MOD_1_REMUNERACAO_SERV_HOSP</f>
        <v>71.569999999999993</v>
      </c>
    </row>
    <row r="32" spans="2:6" x14ac:dyDescent="0.3">
      <c r="B32" s="232" t="s">
        <v>15</v>
      </c>
      <c r="C32" s="233"/>
      <c r="D32" s="233"/>
      <c r="E32" s="234"/>
      <c r="F32" s="32">
        <f>SUM(F30:F31)</f>
        <v>286.02</v>
      </c>
    </row>
    <row r="33" spans="2:6" x14ac:dyDescent="0.3">
      <c r="B33" s="310" t="s">
        <v>183</v>
      </c>
      <c r="C33" s="310"/>
      <c r="D33" s="310"/>
      <c r="E33" s="310"/>
      <c r="F33" s="310"/>
    </row>
    <row r="34" spans="2:6" x14ac:dyDescent="0.3">
      <c r="B34" s="1" t="s">
        <v>184</v>
      </c>
      <c r="C34" s="299" t="s">
        <v>185</v>
      </c>
      <c r="D34" s="299"/>
      <c r="E34" s="116" t="s">
        <v>100</v>
      </c>
      <c r="F34" s="116" t="s">
        <v>110</v>
      </c>
    </row>
    <row r="35" spans="2:6" x14ac:dyDescent="0.3">
      <c r="B35" s="1" t="s">
        <v>31</v>
      </c>
      <c r="C35" s="295" t="s">
        <v>186</v>
      </c>
      <c r="D35" s="295"/>
      <c r="E35" s="47">
        <f>PERC_INSS</f>
        <v>20</v>
      </c>
      <c r="F35" s="46">
        <f>PERC_INSS%*(MOD_1_REMUNERACAO_SERV_HOSP+SUBMOD_2_1_DEC_TERC_ADIC_FERIAS_SERV_HOSP)</f>
        <v>572.08000000000004</v>
      </c>
    </row>
    <row r="36" spans="2:6" s="133" customFormat="1" x14ac:dyDescent="0.3">
      <c r="B36" s="2" t="s">
        <v>34</v>
      </c>
      <c r="C36" s="294" t="s">
        <v>187</v>
      </c>
      <c r="D36" s="294"/>
      <c r="E36" s="36">
        <f>PERC_SAL_EDUCACAO</f>
        <v>2.5</v>
      </c>
      <c r="F36" s="27">
        <f>PERC_SAL_EDUCACAO%*(MOD_1_REMUNERACAO_SERV_HOSP+SUBMOD_2_1_DEC_TERC_ADIC_FERIAS_SERV_HOSP)</f>
        <v>71.510000000000005</v>
      </c>
    </row>
    <row r="37" spans="2:6" s="133" customFormat="1" x14ac:dyDescent="0.3">
      <c r="B37" s="2" t="s">
        <v>38</v>
      </c>
      <c r="C37" s="295" t="s">
        <v>221</v>
      </c>
      <c r="D37" s="295"/>
      <c r="E37" s="47">
        <f>PERC_RAT</f>
        <v>3</v>
      </c>
      <c r="F37" s="46">
        <f>PERC_RAT%*(MOD_1_REMUNERACAO_SERV_HOSP+SUBMOD_2_1_DEC_TERC_ADIC_FERIAS_SERV_HOSP)</f>
        <v>85.81</v>
      </c>
    </row>
    <row r="38" spans="2:6" s="133" customFormat="1" x14ac:dyDescent="0.3">
      <c r="B38" s="2" t="s">
        <v>42</v>
      </c>
      <c r="C38" s="294" t="s">
        <v>189</v>
      </c>
      <c r="D38" s="294"/>
      <c r="E38" s="29">
        <f>PERC_SESC</f>
        <v>1.5</v>
      </c>
      <c r="F38" s="27">
        <f>PERC_SESC%*(MOD_1_REMUNERACAO_SERV_HOSP+SUBMOD_2_1_DEC_TERC_ADIC_FERIAS_SERV_HOSP)</f>
        <v>42.91</v>
      </c>
    </row>
    <row r="39" spans="2:6" x14ac:dyDescent="0.3">
      <c r="B39" s="2" t="s">
        <v>45</v>
      </c>
      <c r="C39" s="295" t="s">
        <v>190</v>
      </c>
      <c r="D39" s="295"/>
      <c r="E39" s="47">
        <f>PERC_SENAC</f>
        <v>1</v>
      </c>
      <c r="F39" s="46">
        <f>PERC_SENAC%*(MOD_1_REMUNERACAO_SERV_HOSP+SUBMOD_2_1_DEC_TERC_ADIC_FERIAS_SERV_HOSP)</f>
        <v>28.6</v>
      </c>
    </row>
    <row r="40" spans="2:6" s="125" customFormat="1" x14ac:dyDescent="0.15">
      <c r="B40" s="2" t="s">
        <v>94</v>
      </c>
      <c r="C40" s="294" t="s">
        <v>191</v>
      </c>
      <c r="D40" s="294"/>
      <c r="E40" s="36">
        <f>PERC_SEBRAE</f>
        <v>0.6</v>
      </c>
      <c r="F40" s="27">
        <f>PERC_SEBRAE%*(MOD_1_REMUNERACAO_SERV_HOSP+SUBMOD_2_1_DEC_TERC_ADIC_FERIAS_SERV_HOSP)</f>
        <v>17.16</v>
      </c>
    </row>
    <row r="41" spans="2:6" s="125" customFormat="1" x14ac:dyDescent="0.15">
      <c r="B41" s="2" t="s">
        <v>150</v>
      </c>
      <c r="C41" s="295" t="s">
        <v>192</v>
      </c>
      <c r="D41" s="295"/>
      <c r="E41" s="47">
        <f>PERC_INCRA</f>
        <v>0.2</v>
      </c>
      <c r="F41" s="46">
        <f>PERC_INCRA%*(MOD_1_REMUNERACAO_SERV_HOSP+SUBMOD_2_1_DEC_TERC_ADIC_FERIAS_SERV_HOSP)</f>
        <v>5.72</v>
      </c>
    </row>
    <row r="42" spans="2:6" s="125" customFormat="1" x14ac:dyDescent="0.15">
      <c r="B42" s="2" t="s">
        <v>152</v>
      </c>
      <c r="C42" s="294" t="s">
        <v>193</v>
      </c>
      <c r="D42" s="294"/>
      <c r="E42" s="36">
        <f>PERC_FGTS</f>
        <v>8</v>
      </c>
      <c r="F42" s="27">
        <f>PERC_FGTS%*(MOD_1_REMUNERACAO_SERV_HOSP+SUBMOD_2_1_DEC_TERC_ADIC_FERIAS_SERV_HOSP)</f>
        <v>228.83</v>
      </c>
    </row>
    <row r="43" spans="2:6" s="125" customFormat="1" x14ac:dyDescent="0.15">
      <c r="B43" s="232" t="s">
        <v>15</v>
      </c>
      <c r="C43" s="233"/>
      <c r="D43" s="233"/>
      <c r="E43" s="234"/>
      <c r="F43" s="33">
        <f>SUM(F35:F42)</f>
        <v>1052.6199999999999</v>
      </c>
    </row>
    <row r="44" spans="2:6" s="125" customFormat="1" x14ac:dyDescent="0.3">
      <c r="B44" s="41" t="s">
        <v>82</v>
      </c>
    </row>
    <row r="45" spans="2:6" s="125" customFormat="1" x14ac:dyDescent="0.15">
      <c r="B45" s="1" t="s">
        <v>83</v>
      </c>
      <c r="C45" s="285" t="s">
        <v>84</v>
      </c>
      <c r="D45" s="285"/>
      <c r="E45" s="285"/>
      <c r="F45" s="116" t="s">
        <v>110</v>
      </c>
    </row>
    <row r="46" spans="2:6" x14ac:dyDescent="0.3">
      <c r="B46" s="15" t="s">
        <v>31</v>
      </c>
      <c r="C46" s="295" t="s">
        <v>87</v>
      </c>
      <c r="D46" s="295"/>
      <c r="E46" s="295"/>
      <c r="F46" s="46">
        <f>IF(((TRANSPORTE_POR_DIA*DIAS_TRABALHADOS_NO_MES)-(PERC_DESC_TRANSP_REMUNERACAO%*(AL_1_A_SAL_BASE_SERV_HOSP)))&gt;0,((TRANSPORTE_POR_DIA*DIAS_TRABALHADOS_NO_MES)-(PERC_DESC_TRANSP_REMUNERACAO%*(AL_1_A_SAL_BASE_SERV_HOSP))),0)</f>
        <v>87.54</v>
      </c>
    </row>
    <row r="47" spans="2:6" x14ac:dyDescent="0.3">
      <c r="B47" s="15" t="s">
        <v>34</v>
      </c>
      <c r="C47" s="294" t="s">
        <v>89</v>
      </c>
      <c r="D47" s="294"/>
      <c r="E47" s="294"/>
      <c r="F47" s="27">
        <f>ALIMENTACAO_POR_DIA*DIAS_TRABALHADOS_NO_MES</f>
        <v>974.6</v>
      </c>
    </row>
    <row r="48" spans="2:6" ht="15.75" customHeight="1" x14ac:dyDescent="0.3">
      <c r="B48" s="15" t="s">
        <v>38</v>
      </c>
      <c r="C48" s="306" t="str">
        <f>OUTROS_BENEFICIOS_1_DESCRICAO</f>
        <v>Seguro de Vida e Assistência Funeral</v>
      </c>
      <c r="D48" s="307"/>
      <c r="E48" s="308"/>
      <c r="F48" s="46">
        <f>OUTROS_BENEFICIOS_1</f>
        <v>3.61</v>
      </c>
    </row>
    <row r="49" spans="2:6" ht="15.75" customHeight="1" x14ac:dyDescent="0.3">
      <c r="B49" s="15" t="s">
        <v>42</v>
      </c>
      <c r="C49" s="282" t="str">
        <f>OUTROS_BENEFICIOS_2_DESCRICAO</f>
        <v>Outros Benefícios 2 (Especificar)</v>
      </c>
      <c r="D49" s="283"/>
      <c r="E49" s="284"/>
      <c r="F49" s="27">
        <f>OUTROS_BENEFICIOS_2</f>
        <v>0</v>
      </c>
    </row>
    <row r="50" spans="2:6" x14ac:dyDescent="0.3">
      <c r="B50" s="15" t="s">
        <v>45</v>
      </c>
      <c r="C50" s="306" t="str">
        <f>OUTROS_BENEFICIOS_3_DESCRICAO</f>
        <v>Outros Benefícios 3 (Especificar)</v>
      </c>
      <c r="D50" s="307"/>
      <c r="E50" s="308"/>
      <c r="F50" s="46">
        <f>OUTROS_BENEFICIOS_3</f>
        <v>0</v>
      </c>
    </row>
    <row r="51" spans="2:6" s="133" customFormat="1" x14ac:dyDescent="0.3">
      <c r="B51" s="309" t="s">
        <v>15</v>
      </c>
      <c r="C51" s="309"/>
      <c r="D51" s="309"/>
      <c r="E51" s="309"/>
      <c r="F51" s="31">
        <f>SUM(F46:F50)</f>
        <v>1065.75</v>
      </c>
    </row>
    <row r="52" spans="2:6" s="133" customFormat="1" x14ac:dyDescent="0.3">
      <c r="B52" s="41" t="s">
        <v>156</v>
      </c>
      <c r="C52" s="5"/>
      <c r="D52" s="12"/>
      <c r="E52" s="10"/>
      <c r="F52" s="10"/>
    </row>
    <row r="53" spans="2:6" s="133" customFormat="1" x14ac:dyDescent="0.3">
      <c r="B53" s="1">
        <v>3</v>
      </c>
      <c r="C53" s="212" t="s">
        <v>157</v>
      </c>
      <c r="D53" s="212"/>
      <c r="E53" s="116" t="s">
        <v>100</v>
      </c>
      <c r="F53" s="116" t="s">
        <v>110</v>
      </c>
    </row>
    <row r="54" spans="2:6" s="133" customFormat="1" x14ac:dyDescent="0.3">
      <c r="B54" s="1" t="s">
        <v>31</v>
      </c>
      <c r="C54" s="296" t="s">
        <v>194</v>
      </c>
      <c r="D54" s="296"/>
      <c r="E54" s="47">
        <f>PERC_AVISO_PREVIO_IND</f>
        <v>0.26</v>
      </c>
      <c r="F54" s="46">
        <f>PERC_AVISO_PREVIO_IND%*(MOD_1_REMUNERACAO_SERV_HOSP+SUBMOD_2_1_DEC_TERC_ADIC_FERIAS_SERV_HOSP+AL_2_2_FGTS_SERV_HOSP+SUBMOD_2_3_BENEFICIOS_SERV_HOSP)</f>
        <v>10.8</v>
      </c>
    </row>
    <row r="55" spans="2:6" s="133" customFormat="1" ht="15" customHeight="1" x14ac:dyDescent="0.3">
      <c r="B55" s="2" t="s">
        <v>34</v>
      </c>
      <c r="C55" s="298" t="s">
        <v>196</v>
      </c>
      <c r="D55" s="298"/>
      <c r="E55" s="36">
        <f>PERC_AVISO_PREVIO_TRAB</f>
        <v>1.03</v>
      </c>
      <c r="F55" s="27">
        <f>PERC_AVISO_PREVIO_TRAB%*(MOD_1_REMUNERACAO_SERV_HOSP+SUBMOD_2_1_DEC_TERC_ADIC_FERIAS_SERV_HOSP+SUBMOD_2_2_GPS_FGTS_SERV_HOSP+SUBMOD_2_3_BENEFICIOS_SERV_HOSP)</f>
        <v>51.28</v>
      </c>
    </row>
    <row r="56" spans="2:6" s="133" customFormat="1" x14ac:dyDescent="0.3">
      <c r="B56" s="2" t="s">
        <v>38</v>
      </c>
      <c r="C56" s="298" t="s">
        <v>198</v>
      </c>
      <c r="D56" s="298"/>
      <c r="E56" s="36">
        <f>PERC_MULTA_FGTS_AV_PREV_TRAB</f>
        <v>0.04</v>
      </c>
      <c r="F56" s="27">
        <f>PERC_MULTA_FGTS_AV_PREV_TRAB%*(MOD_1_REMUNERACAO_SERV_HOSP+SUBMOD_2_1_DEC_TERC_ADIC_FERIAS_SERV_HOSP)</f>
        <v>1.1399999999999999</v>
      </c>
    </row>
    <row r="57" spans="2:6" s="125" customFormat="1" x14ac:dyDescent="0.3">
      <c r="B57" s="232" t="s">
        <v>15</v>
      </c>
      <c r="C57" s="233"/>
      <c r="D57" s="233"/>
      <c r="E57" s="234"/>
      <c r="F57" s="32">
        <f>SUM(F54:F56)</f>
        <v>63.22</v>
      </c>
    </row>
    <row r="58" spans="2:6" s="125" customFormat="1" x14ac:dyDescent="0.3">
      <c r="B58" s="41" t="s">
        <v>96</v>
      </c>
      <c r="C58" s="5"/>
      <c r="D58" s="12"/>
      <c r="E58" s="6"/>
      <c r="F58" s="6"/>
    </row>
    <row r="59" spans="2:6" s="125" customFormat="1" x14ac:dyDescent="0.3">
      <c r="B59" s="41" t="s">
        <v>97</v>
      </c>
      <c r="C59" s="5"/>
      <c r="D59" s="12"/>
      <c r="E59" s="10"/>
      <c r="F59" s="10"/>
    </row>
    <row r="60" spans="2:6" s="125" customFormat="1" x14ac:dyDescent="0.15">
      <c r="B60" s="1" t="s">
        <v>98</v>
      </c>
      <c r="C60" s="297" t="s">
        <v>99</v>
      </c>
      <c r="D60" s="297"/>
      <c r="E60" s="116" t="s">
        <v>100</v>
      </c>
      <c r="F60" s="116" t="s">
        <v>110</v>
      </c>
    </row>
    <row r="61" spans="2:6" x14ac:dyDescent="0.3">
      <c r="B61" s="2" t="s">
        <v>31</v>
      </c>
      <c r="C61" s="295" t="s">
        <v>200</v>
      </c>
      <c r="D61" s="295"/>
      <c r="E61" s="47">
        <f>PERC_SUBSTITUTO_FERIAS</f>
        <v>8.33</v>
      </c>
      <c r="F61" s="46">
        <f>PERC_SUBSTITUTO_FERIAS%*(MOD_1_REMUNERACAO_SERV_HOSP+MOD_2_ENCARGOS_BENEFICIOS_SERV_HOSP+MOD_3_PROVISAO_RESCISAO_SERV_HOSP)</f>
        <v>420</v>
      </c>
    </row>
    <row r="62" spans="2:6" s="125" customFormat="1" ht="15.95" customHeight="1" x14ac:dyDescent="0.15">
      <c r="B62" s="2" t="s">
        <v>34</v>
      </c>
      <c r="C62" s="294" t="s">
        <v>202</v>
      </c>
      <c r="D62" s="294"/>
      <c r="E62" s="36">
        <f>PERC_SUBSTITUTO_AUSENCIAS_LEGAIS</f>
        <v>2.2200000000000002</v>
      </c>
      <c r="F62" s="27">
        <f>PERC_SUBSTITUTO_AUSENCIAS_LEGAIS%*(MOD_1_REMUNERACAO_SERV_HOSP+MOD_2_ENCARGOS_BENEFICIOS_SERV_HOSP+MOD_3_PROVISAO_RESCISAO_SERV_HOSP)</f>
        <v>111.93</v>
      </c>
    </row>
    <row r="63" spans="2:6" s="125" customFormat="1" ht="15.95" customHeight="1" x14ac:dyDescent="0.15">
      <c r="B63" s="2" t="s">
        <v>38</v>
      </c>
      <c r="C63" s="295" t="s">
        <v>204</v>
      </c>
      <c r="D63" s="295"/>
      <c r="E63" s="47">
        <f>PERC_SUBSTITUTO_LICENCA_PATERNIDADE</f>
        <v>0.04</v>
      </c>
      <c r="F63" s="46">
        <f>PERC_SUBSTITUTO_LICENCA_PATERNIDADE%*(MOD_1_REMUNERACAO_SERV_HOSP+MOD_2_ENCARGOS_BENEFICIOS_SERV_HOSP+MOD_3_PROVISAO_RESCISAO_SERV_HOSP)</f>
        <v>2.02</v>
      </c>
    </row>
    <row r="64" spans="2:6" s="125" customFormat="1" x14ac:dyDescent="0.15">
      <c r="B64" s="2" t="s">
        <v>42</v>
      </c>
      <c r="C64" s="294" t="s">
        <v>206</v>
      </c>
      <c r="D64" s="294"/>
      <c r="E64" s="36">
        <f>PERC_SUBSTITUTO_ACID_TRAB</f>
        <v>0.02</v>
      </c>
      <c r="F64" s="27">
        <f>PERC_SUBSTITUTO_ACID_TRAB%*(MOD_1_REMUNERACAO_SERV_HOSP+MOD_2_ENCARGOS_BENEFICIOS_SERV_HOSP+MOD_3_PROVISAO_RESCISAO_SERV_HOSP)</f>
        <v>1.01</v>
      </c>
    </row>
    <row r="65" spans="2:6" s="125" customFormat="1" ht="15.95" customHeight="1" x14ac:dyDescent="0.15">
      <c r="B65" s="2" t="s">
        <v>45</v>
      </c>
      <c r="C65" s="295" t="s">
        <v>208</v>
      </c>
      <c r="D65" s="295"/>
      <c r="E65" s="47">
        <f>PERC_SUBSTITUTO_AFAST_MATERN</f>
        <v>0.14000000000000001</v>
      </c>
      <c r="F65" s="46">
        <f>PERC_SUBSTITUTO_AFAST_MATERN%*(MOD_1_REMUNERACAO_SERV_HOSP+MOD_2_ENCARGOS_BENEFICIOS_SERV_HOSP+MOD_3_PROVISAO_RESCISAO_SERV_HOSP)</f>
        <v>7.06</v>
      </c>
    </row>
    <row r="66" spans="2:6" s="125" customFormat="1" ht="15.95" customHeight="1" x14ac:dyDescent="0.15">
      <c r="B66" s="2" t="s">
        <v>94</v>
      </c>
      <c r="C66" s="304" t="str">
        <f>OUTRAS_AUSENCIAS_DESCRICAO</f>
        <v>Outras Ausências (Especificar em %)</v>
      </c>
      <c r="D66" s="294"/>
      <c r="E66" s="43">
        <f>PERC_SUBSTITUTO_OUTRAS_AUSENCIAS</f>
        <v>0</v>
      </c>
      <c r="F66" s="27">
        <f>PERC_SUBSTITUTO_OUTRAS_AUSENCIAS%*(MOD_1_REMUNERACAO_SERV_HOSP+MOD_2_ENCARGOS_BENEFICIOS_SERV_HOSP+MOD_3_PROVISAO_RESCISAO_SERV_HOSP)</f>
        <v>0</v>
      </c>
    </row>
    <row r="67" spans="2:6" s="125" customFormat="1" ht="15.95" customHeight="1" x14ac:dyDescent="0.3">
      <c r="B67" s="232" t="s">
        <v>15</v>
      </c>
      <c r="C67" s="233"/>
      <c r="D67" s="233"/>
      <c r="E67" s="234"/>
      <c r="F67" s="32">
        <f>SUM(F61:F66)</f>
        <v>542.02</v>
      </c>
    </row>
    <row r="68" spans="2:6" s="125" customFormat="1" x14ac:dyDescent="0.3">
      <c r="B68" s="41" t="s">
        <v>102</v>
      </c>
      <c r="C68" s="5"/>
      <c r="D68" s="12"/>
      <c r="E68" s="10"/>
      <c r="F68" s="10"/>
    </row>
    <row r="69" spans="2:6" s="125" customFormat="1" x14ac:dyDescent="0.15">
      <c r="B69" s="1" t="s">
        <v>103</v>
      </c>
      <c r="C69" s="212" t="s">
        <v>104</v>
      </c>
      <c r="D69" s="212"/>
      <c r="E69" s="212"/>
      <c r="F69" s="116" t="s">
        <v>110</v>
      </c>
    </row>
    <row r="70" spans="2:6" s="125" customFormat="1" x14ac:dyDescent="0.15">
      <c r="B70" s="1" t="s">
        <v>31</v>
      </c>
      <c r="C70" s="295" t="s">
        <v>222</v>
      </c>
      <c r="D70" s="295"/>
      <c r="E70" s="295"/>
      <c r="F70" s="45">
        <f>IF(DIAS_TRABALHADOS_NO_MES=15,((MOD_1_REMUNERACAO_SERV_HOSP+MOD_2_ENCARGOS_BENEFICIOS_SERV_HOSP+MOD_3_PROVISAO_RESCISAO_SERV_HOSP)/DIVISOR_DE_HORAS)*((TEMPO_INTERVALO_REFEICAO/HORA_NORMAL)+PERC_HORA_EXTRA%)*DIAS_TRABALHADOS_NO_MES,0)</f>
        <v>0</v>
      </c>
    </row>
    <row r="71" spans="2:6" s="125" customFormat="1" x14ac:dyDescent="0.3">
      <c r="B71" s="212" t="s">
        <v>15</v>
      </c>
      <c r="C71" s="212"/>
      <c r="D71" s="212"/>
      <c r="E71" s="212"/>
      <c r="F71" s="32">
        <f>SUM(F70)</f>
        <v>0</v>
      </c>
    </row>
    <row r="72" spans="2:6" s="125" customFormat="1" x14ac:dyDescent="0.3">
      <c r="B72" s="41" t="s">
        <v>108</v>
      </c>
      <c r="C72" s="5"/>
      <c r="D72" s="5"/>
      <c r="E72" s="10"/>
      <c r="F72" s="10"/>
    </row>
    <row r="73" spans="2:6" s="125" customFormat="1" x14ac:dyDescent="0.15">
      <c r="B73" s="39">
        <v>5</v>
      </c>
      <c r="C73" s="235" t="s">
        <v>109</v>
      </c>
      <c r="D73" s="235"/>
      <c r="E73" s="235"/>
      <c r="F73" s="40" t="s">
        <v>110</v>
      </c>
    </row>
    <row r="74" spans="2:6" s="125" customFormat="1" x14ac:dyDescent="0.3">
      <c r="B74" s="35" t="s">
        <v>31</v>
      </c>
      <c r="C74" s="209" t="s">
        <v>223</v>
      </c>
      <c r="D74" s="209"/>
      <c r="E74" s="209"/>
      <c r="F74" s="48">
        <f>'INSERÇÃO-DE-DADOS'!F62</f>
        <v>30.27</v>
      </c>
    </row>
    <row r="75" spans="2:6" x14ac:dyDescent="0.3">
      <c r="B75" s="35" t="s">
        <v>34</v>
      </c>
      <c r="C75" s="211" t="s">
        <v>224</v>
      </c>
      <c r="D75" s="211"/>
      <c r="E75" s="211"/>
      <c r="F75" s="48">
        <f>'INSERÇÃO-DE-DADOS'!F65</f>
        <v>1821.98</v>
      </c>
    </row>
    <row r="76" spans="2:6" x14ac:dyDescent="0.3">
      <c r="B76" s="35" t="s">
        <v>38</v>
      </c>
      <c r="C76" s="209" t="s">
        <v>225</v>
      </c>
      <c r="D76" s="209"/>
      <c r="E76" s="209"/>
      <c r="F76" s="48">
        <f>'INSERÇÃO-DE-DADOS'!F68</f>
        <v>201.69</v>
      </c>
    </row>
    <row r="77" spans="2:6" ht="15.75" customHeight="1" x14ac:dyDescent="0.3">
      <c r="B77" s="35" t="s">
        <v>42</v>
      </c>
      <c r="C77" s="305" t="str">
        <f>OUTROS_INSUMOS_DESCRICAO</f>
        <v>Outros Insumos (Especificar)</v>
      </c>
      <c r="D77" s="211"/>
      <c r="E77" s="211"/>
      <c r="F77" s="37">
        <f>OUTROS_INSUMOS</f>
        <v>0</v>
      </c>
    </row>
    <row r="78" spans="2:6" x14ac:dyDescent="0.3">
      <c r="B78" s="303" t="s">
        <v>15</v>
      </c>
      <c r="C78" s="303"/>
      <c r="D78" s="303"/>
      <c r="E78" s="303"/>
      <c r="F78" s="34">
        <f>SUM(F74:F77)</f>
        <v>2053.94</v>
      </c>
    </row>
    <row r="79" spans="2:6" x14ac:dyDescent="0.3">
      <c r="B79" s="225" t="s">
        <v>130</v>
      </c>
      <c r="C79" s="225"/>
      <c r="D79" s="225"/>
      <c r="E79" s="225"/>
      <c r="F79" s="225"/>
    </row>
    <row r="80" spans="2:6" x14ac:dyDescent="0.3">
      <c r="B80" s="1">
        <v>6</v>
      </c>
      <c r="C80" s="212" t="s">
        <v>131</v>
      </c>
      <c r="D80" s="212"/>
      <c r="E80" s="116" t="s">
        <v>100</v>
      </c>
      <c r="F80" s="116" t="s">
        <v>110</v>
      </c>
    </row>
    <row r="81" spans="2:6" x14ac:dyDescent="0.3">
      <c r="B81" s="1" t="s">
        <v>31</v>
      </c>
      <c r="C81" s="295" t="s">
        <v>132</v>
      </c>
      <c r="D81" s="295"/>
      <c r="E81" s="49">
        <f>PERC_CUSTOS_INDIRETOS</f>
        <v>4.7300000000000004</v>
      </c>
      <c r="F81" s="46">
        <f>PERC_CUSTOS_INDIRETOS%*(MOD_1_REMUNERACAO_SERV_HOSP+MOD_2_ENCARGOS_BENEFICIOS_SERV_HOSP+MOD_3_PROVISAO_RESCISAO_SERV_HOSP+MOD_4_CUSTO_REPOSICAO_SERV_HOSP+MOD_5_INSUMOS_SERV_HOSP)</f>
        <v>361.27</v>
      </c>
    </row>
    <row r="82" spans="2:6" x14ac:dyDescent="0.3">
      <c r="B82" s="2" t="s">
        <v>34</v>
      </c>
      <c r="C82" s="294" t="s">
        <v>133</v>
      </c>
      <c r="D82" s="294"/>
      <c r="E82" s="38">
        <f>PERC_LUCRO</f>
        <v>5.57</v>
      </c>
      <c r="F82" s="27">
        <f>PERC_LUCRO%*(MOD_1_REMUNERACAO_SERV_HOSP+MOD_2_ENCARGOS_BENEFICIOS_SERV_HOSP+MOD_3_PROVISAO_RESCISAO_SERV_HOSP+MOD_4_CUSTO_REPOSICAO_SERV_HOSP+MOD_5_INSUMOS_SERV_HOSP+AL_6_A_CUSTOS_INDIRETOS_SERV_HOSP)</f>
        <v>445.56</v>
      </c>
    </row>
    <row r="83" spans="2:6" ht="15" customHeight="1" x14ac:dyDescent="0.3">
      <c r="B83" s="2" t="s">
        <v>38</v>
      </c>
      <c r="C83" s="295" t="s">
        <v>226</v>
      </c>
      <c r="D83" s="295"/>
      <c r="E83" s="49">
        <f>SUM(E84:E86)</f>
        <v>8.65</v>
      </c>
      <c r="F83" s="46">
        <f>SUM(F84:F86)</f>
        <v>799.64</v>
      </c>
    </row>
    <row r="84" spans="2:6" x14ac:dyDescent="0.3">
      <c r="B84" s="21" t="s">
        <v>134</v>
      </c>
      <c r="C84" s="301" t="s">
        <v>135</v>
      </c>
      <c r="D84" s="301"/>
      <c r="E84" s="22">
        <f>PERC_PIS</f>
        <v>0.65</v>
      </c>
      <c r="F84" s="51">
        <f>((MOD_1_REMUNERACAO_SERV_HOSP+MOD_2_ENCARGOS_BENEFICIOS_SERV_HOSP+MOD_3_PROVISAO_RESCISAO_SERV_HOSP+MOD_4_CUSTO_REPOSICAO_SERV_HOSP+MOD_5_INSUMOS_SERV_HOSP+AL_6_A_CUSTOS_INDIRETOS_SERV_HOSP+AL_6_B_LUCRO_SERV_HOSP)*PERC_PIS%)/(1-PERC_TRIBUTOS%)</f>
        <v>60.09</v>
      </c>
    </row>
    <row r="85" spans="2:6" x14ac:dyDescent="0.3">
      <c r="B85" s="21" t="s">
        <v>136</v>
      </c>
      <c r="C85" s="302" t="s">
        <v>137</v>
      </c>
      <c r="D85" s="302"/>
      <c r="E85" s="50">
        <f>PERC_COFINS</f>
        <v>3</v>
      </c>
      <c r="F85" s="52">
        <f>((MOD_1_REMUNERACAO_SERV_HOSP+MOD_2_ENCARGOS_BENEFICIOS_SERV_HOSP+MOD_3_PROVISAO_RESCISAO_SERV_HOSP+MOD_4_CUSTO_REPOSICAO_SERV_HOSP+MOD_5_INSUMOS_SERV_HOSP+AL_6_A_CUSTOS_INDIRETOS_SERV_HOSP+AL_6_B_LUCRO_SERV_HOSP)*PERC_COFINS%)/(1-PERC_TRIBUTOS%)</f>
        <v>277.33</v>
      </c>
    </row>
    <row r="86" spans="2:6" ht="15.75" customHeight="1" x14ac:dyDescent="0.3">
      <c r="B86" s="21" t="s">
        <v>138</v>
      </c>
      <c r="C86" s="301" t="s">
        <v>139</v>
      </c>
      <c r="D86" s="301"/>
      <c r="E86" s="22">
        <f>PERC_ISS</f>
        <v>5</v>
      </c>
      <c r="F86" s="51">
        <f>((MOD_1_REMUNERACAO_SERV_HOSP+MOD_2_ENCARGOS_BENEFICIOS_SERV_HOSP+MOD_3_PROVISAO_RESCISAO_SERV_HOSP+MOD_4_CUSTO_REPOSICAO_SERV_HOSP+MOD_5_INSUMOS_SERV_HOSP+AL_6_A_CUSTOS_INDIRETOS_SERV_HOSP+AL_6_B_LUCRO_SERV_HOSP)*PERC_ISS%)/(1-PERC_TRIBUTOS%)</f>
        <v>462.22</v>
      </c>
    </row>
    <row r="87" spans="2:6" x14ac:dyDescent="0.3">
      <c r="B87" s="232" t="s">
        <v>15</v>
      </c>
      <c r="C87" s="233"/>
      <c r="D87" s="233"/>
      <c r="E87" s="234"/>
      <c r="F87" s="28">
        <f>AL_6_A_CUSTOS_INDIRETOS_SERV_HOSP+AL_6_B_LUCRO_SERV_HOSP+AL_6_C_TRIBUTOS_SERV_HOSP</f>
        <v>1606.47</v>
      </c>
    </row>
    <row r="88" spans="2:6" ht="15.75" customHeight="1" x14ac:dyDescent="0.3">
      <c r="B88" s="42" t="s">
        <v>227</v>
      </c>
      <c r="C88" s="8"/>
      <c r="D88" s="8"/>
      <c r="E88" s="8"/>
      <c r="F88" s="13"/>
    </row>
    <row r="89" spans="2:6" x14ac:dyDescent="0.3">
      <c r="B89" s="2" t="s">
        <v>228</v>
      </c>
      <c r="C89" s="226" t="s">
        <v>229</v>
      </c>
      <c r="D89" s="227"/>
      <c r="E89" s="228"/>
      <c r="F89" s="116" t="s">
        <v>230</v>
      </c>
    </row>
    <row r="90" spans="2:6" s="134" customFormat="1" x14ac:dyDescent="0.3">
      <c r="B90" s="1">
        <v>1</v>
      </c>
      <c r="C90" s="295" t="s">
        <v>75</v>
      </c>
      <c r="D90" s="295"/>
      <c r="E90" s="295"/>
      <c r="F90" s="46">
        <f>MOD_1_REMUNERACAO_SERV_HOSP</f>
        <v>2574.37</v>
      </c>
    </row>
    <row r="91" spans="2:6" s="134" customFormat="1" x14ac:dyDescent="0.3">
      <c r="B91" s="2">
        <v>2</v>
      </c>
      <c r="C91" s="294" t="s">
        <v>231</v>
      </c>
      <c r="D91" s="294"/>
      <c r="E91" s="294"/>
      <c r="F91" s="27">
        <f>MOD_2_ENCARGOS_BENEFICIOS_SERV_HOSP</f>
        <v>2404.39</v>
      </c>
    </row>
    <row r="92" spans="2:6" s="134" customFormat="1" x14ac:dyDescent="0.3">
      <c r="B92" s="2">
        <v>3</v>
      </c>
      <c r="C92" s="295" t="s">
        <v>157</v>
      </c>
      <c r="D92" s="295"/>
      <c r="E92" s="295"/>
      <c r="F92" s="46">
        <f>MOD_3_PROVISAO_RESCISAO_SERV_HOSP</f>
        <v>63.22</v>
      </c>
    </row>
    <row r="93" spans="2:6" s="135" customFormat="1" ht="16.5" customHeight="1" x14ac:dyDescent="0.3">
      <c r="B93" s="2">
        <v>4</v>
      </c>
      <c r="C93" s="294" t="s">
        <v>232</v>
      </c>
      <c r="D93" s="294"/>
      <c r="E93" s="294"/>
      <c r="F93" s="27">
        <f>MOD_4_CUSTO_REPOSICAO_SERV_HOSP</f>
        <v>542.02</v>
      </c>
    </row>
    <row r="94" spans="2:6" s="134" customFormat="1" x14ac:dyDescent="0.3">
      <c r="B94" s="2">
        <v>5</v>
      </c>
      <c r="C94" s="295" t="s">
        <v>109</v>
      </c>
      <c r="D94" s="295"/>
      <c r="E94" s="295"/>
      <c r="F94" s="46">
        <f>MOD_5_INSUMOS_SERV_HOSP</f>
        <v>2053.94</v>
      </c>
    </row>
    <row r="95" spans="2:6" s="136" customFormat="1" ht="16.5" customHeight="1" x14ac:dyDescent="0.3">
      <c r="B95" s="2">
        <v>6</v>
      </c>
      <c r="C95" s="294" t="s">
        <v>131</v>
      </c>
      <c r="D95" s="294"/>
      <c r="E95" s="294"/>
      <c r="F95" s="27">
        <f>MOD_6_CUSTOS_IND_LUCRO_TRIB_SERV_HOSP</f>
        <v>1606.47</v>
      </c>
    </row>
    <row r="96" spans="2:6" s="136" customFormat="1" x14ac:dyDescent="0.3">
      <c r="B96" s="297" t="s">
        <v>240</v>
      </c>
      <c r="C96" s="297"/>
      <c r="D96" s="297"/>
      <c r="E96" s="297"/>
      <c r="F96" s="28">
        <f>SUM(F90:F95)</f>
        <v>9244.41</v>
      </c>
    </row>
    <row r="97" spans="2:6" s="136" customFormat="1" x14ac:dyDescent="0.3">
      <c r="B97" s="6"/>
      <c r="C97" s="9"/>
      <c r="D97" s="9"/>
      <c r="E97" s="9"/>
      <c r="F97" s="9"/>
    </row>
    <row r="98" spans="2:6" ht="16.5" customHeight="1" x14ac:dyDescent="0.3"/>
    <row r="99" spans="2:6" ht="16.5" customHeight="1" x14ac:dyDescent="0.3"/>
  </sheetData>
  <mergeCells count="88">
    <mergeCell ref="C94:E94"/>
    <mergeCell ref="C95:E95"/>
    <mergeCell ref="B96:E96"/>
    <mergeCell ref="B87:E87"/>
    <mergeCell ref="C89:E89"/>
    <mergeCell ref="C90:E90"/>
    <mergeCell ref="C91:E91"/>
    <mergeCell ref="C92:E92"/>
    <mergeCell ref="C93:E93"/>
    <mergeCell ref="C86:D86"/>
    <mergeCell ref="C75:E75"/>
    <mergeCell ref="C76:E76"/>
    <mergeCell ref="C77:E77"/>
    <mergeCell ref="B78:E78"/>
    <mergeCell ref="B79:F79"/>
    <mergeCell ref="C80:D80"/>
    <mergeCell ref="C81:D81"/>
    <mergeCell ref="C82:D82"/>
    <mergeCell ref="C83:D83"/>
    <mergeCell ref="C84:D84"/>
    <mergeCell ref="C85:D85"/>
    <mergeCell ref="C74:E74"/>
    <mergeCell ref="C61:D61"/>
    <mergeCell ref="C62:D62"/>
    <mergeCell ref="C63:D63"/>
    <mergeCell ref="C64:D64"/>
    <mergeCell ref="C65:D65"/>
    <mergeCell ref="C66:D66"/>
    <mergeCell ref="B67:E67"/>
    <mergeCell ref="C69:E69"/>
    <mergeCell ref="C70:E70"/>
    <mergeCell ref="B71:E71"/>
    <mergeCell ref="C73:E73"/>
    <mergeCell ref="C60:D60"/>
    <mergeCell ref="C49:E49"/>
    <mergeCell ref="C50:E50"/>
    <mergeCell ref="B51:E51"/>
    <mergeCell ref="C53:D53"/>
    <mergeCell ref="C54:D54"/>
    <mergeCell ref="C55:D55"/>
    <mergeCell ref="C56:D56"/>
    <mergeCell ref="B57:E57"/>
    <mergeCell ref="C48:E48"/>
    <mergeCell ref="C36:D36"/>
    <mergeCell ref="C37:D37"/>
    <mergeCell ref="C38:D38"/>
    <mergeCell ref="C39:D39"/>
    <mergeCell ref="C40:D40"/>
    <mergeCell ref="C41:D41"/>
    <mergeCell ref="C42:D42"/>
    <mergeCell ref="B43:E43"/>
    <mergeCell ref="C45:E45"/>
    <mergeCell ref="C46:E46"/>
    <mergeCell ref="C47:E47"/>
    <mergeCell ref="C35:D35"/>
    <mergeCell ref="C23:E23"/>
    <mergeCell ref="C24:E24"/>
    <mergeCell ref="C25:E25"/>
    <mergeCell ref="B26:E26"/>
    <mergeCell ref="C29:D29"/>
    <mergeCell ref="C30:D30"/>
    <mergeCell ref="C31:D31"/>
    <mergeCell ref="B32:E32"/>
    <mergeCell ref="B33:F33"/>
    <mergeCell ref="C34:D34"/>
    <mergeCell ref="B18:F18"/>
    <mergeCell ref="C20:E20"/>
    <mergeCell ref="C21:E21"/>
    <mergeCell ref="C22:E22"/>
    <mergeCell ref="D15:F15"/>
    <mergeCell ref="D16:F16"/>
    <mergeCell ref="C17:E17"/>
    <mergeCell ref="C10:E10"/>
    <mergeCell ref="C11:E11"/>
    <mergeCell ref="C12:E12"/>
    <mergeCell ref="C14:D14"/>
    <mergeCell ref="E14:F14"/>
    <mergeCell ref="B7:F7"/>
    <mergeCell ref="C8:E8"/>
    <mergeCell ref="D9:F9"/>
    <mergeCell ref="B6:C6"/>
    <mergeCell ref="D6:E6"/>
    <mergeCell ref="B1:F1"/>
    <mergeCell ref="B2:D2"/>
    <mergeCell ref="B3:F3"/>
    <mergeCell ref="B4:F4"/>
    <mergeCell ref="B5:C5"/>
    <mergeCell ref="D5:F5"/>
  </mergeCells>
  <pageMargins left="0.511811024" right="0.511811024" top="0.78740157499999996" bottom="0.78740157499999996" header="0.31496062000000002" footer="0.31496062000000002"/>
  <pageSetup paperSize="9" scale="46" orientation="portrait" r:id="rId1"/>
  <ignoredErrors>
    <ignoredError sqref="B1:F1 C17:E17 B4:F4 C3:F3 B13:F14 C16 E16:F16 B2:E2 B12 D12:E12 B10:F11 B9:C9 B7:F8 D5:F6 B15:C15 E15:F1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68"/>
  <sheetViews>
    <sheetView topLeftCell="A7" workbookViewId="0">
      <selection activeCell="L27" sqref="L27"/>
    </sheetView>
  </sheetViews>
  <sheetFormatPr defaultRowHeight="16.5" x14ac:dyDescent="0.2"/>
  <cols>
    <col min="1" max="1" width="1.140625" style="151" customWidth="1"/>
    <col min="2" max="2" width="20.7109375" style="152" customWidth="1"/>
    <col min="3" max="3" width="18.5703125" style="152" customWidth="1"/>
    <col min="4" max="4" width="17.42578125" style="152" customWidth="1"/>
    <col min="5" max="5" width="16.42578125" style="152" customWidth="1"/>
    <col min="6" max="6" width="17.7109375" style="73" customWidth="1"/>
    <col min="7" max="7" width="18.85546875" style="73" customWidth="1"/>
    <col min="8" max="8" width="17.28515625" style="73" customWidth="1"/>
    <col min="9" max="256" width="9.140625" style="151"/>
    <col min="257" max="257" width="1.140625" style="151" customWidth="1"/>
    <col min="258" max="258" width="20.7109375" style="151" customWidth="1"/>
    <col min="259" max="259" width="23.42578125" style="151" customWidth="1"/>
    <col min="260" max="260" width="20.5703125" style="151" customWidth="1"/>
    <col min="261" max="261" width="20" style="151" customWidth="1"/>
    <col min="262" max="262" width="23.140625" style="151" customWidth="1"/>
    <col min="263" max="263" width="13.5703125" style="151" customWidth="1"/>
    <col min="264" max="264" width="17.28515625" style="151" customWidth="1"/>
    <col min="265" max="512" width="9.140625" style="151"/>
    <col min="513" max="513" width="1.140625" style="151" customWidth="1"/>
    <col min="514" max="514" width="20.7109375" style="151" customWidth="1"/>
    <col min="515" max="515" width="23.42578125" style="151" customWidth="1"/>
    <col min="516" max="516" width="20.5703125" style="151" customWidth="1"/>
    <col min="517" max="517" width="20" style="151" customWidth="1"/>
    <col min="518" max="518" width="23.140625" style="151" customWidth="1"/>
    <col min="519" max="519" width="13.5703125" style="151" customWidth="1"/>
    <col min="520" max="520" width="17.28515625" style="151" customWidth="1"/>
    <col min="521" max="768" width="9.140625" style="151"/>
    <col min="769" max="769" width="1.140625" style="151" customWidth="1"/>
    <col min="770" max="770" width="20.7109375" style="151" customWidth="1"/>
    <col min="771" max="771" width="23.42578125" style="151" customWidth="1"/>
    <col min="772" max="772" width="20.5703125" style="151" customWidth="1"/>
    <col min="773" max="773" width="20" style="151" customWidth="1"/>
    <col min="774" max="774" width="23.140625" style="151" customWidth="1"/>
    <col min="775" max="775" width="13.5703125" style="151" customWidth="1"/>
    <col min="776" max="776" width="17.28515625" style="151" customWidth="1"/>
    <col min="777" max="1024" width="9.140625" style="151"/>
    <col min="1025" max="1025" width="1.140625" style="151" customWidth="1"/>
    <col min="1026" max="1026" width="20.7109375" style="151" customWidth="1"/>
    <col min="1027" max="1027" width="23.42578125" style="151" customWidth="1"/>
    <col min="1028" max="1028" width="20.5703125" style="151" customWidth="1"/>
    <col min="1029" max="1029" width="20" style="151" customWidth="1"/>
    <col min="1030" max="1030" width="23.140625" style="151" customWidth="1"/>
    <col min="1031" max="1031" width="13.5703125" style="151" customWidth="1"/>
    <col min="1032" max="1032" width="17.28515625" style="151" customWidth="1"/>
    <col min="1033" max="1280" width="9.140625" style="151"/>
    <col min="1281" max="1281" width="1.140625" style="151" customWidth="1"/>
    <col min="1282" max="1282" width="20.7109375" style="151" customWidth="1"/>
    <col min="1283" max="1283" width="23.42578125" style="151" customWidth="1"/>
    <col min="1284" max="1284" width="20.5703125" style="151" customWidth="1"/>
    <col min="1285" max="1285" width="20" style="151" customWidth="1"/>
    <col min="1286" max="1286" width="23.140625" style="151" customWidth="1"/>
    <col min="1287" max="1287" width="13.5703125" style="151" customWidth="1"/>
    <col min="1288" max="1288" width="17.28515625" style="151" customWidth="1"/>
    <col min="1289" max="1536" width="9.140625" style="151"/>
    <col min="1537" max="1537" width="1.140625" style="151" customWidth="1"/>
    <col min="1538" max="1538" width="20.7109375" style="151" customWidth="1"/>
    <col min="1539" max="1539" width="23.42578125" style="151" customWidth="1"/>
    <col min="1540" max="1540" width="20.5703125" style="151" customWidth="1"/>
    <col min="1541" max="1541" width="20" style="151" customWidth="1"/>
    <col min="1542" max="1542" width="23.140625" style="151" customWidth="1"/>
    <col min="1543" max="1543" width="13.5703125" style="151" customWidth="1"/>
    <col min="1544" max="1544" width="17.28515625" style="151" customWidth="1"/>
    <col min="1545" max="1792" width="9.140625" style="151"/>
    <col min="1793" max="1793" width="1.140625" style="151" customWidth="1"/>
    <col min="1794" max="1794" width="20.7109375" style="151" customWidth="1"/>
    <col min="1795" max="1795" width="23.42578125" style="151" customWidth="1"/>
    <col min="1796" max="1796" width="20.5703125" style="151" customWidth="1"/>
    <col min="1797" max="1797" width="20" style="151" customWidth="1"/>
    <col min="1798" max="1798" width="23.140625" style="151" customWidth="1"/>
    <col min="1799" max="1799" width="13.5703125" style="151" customWidth="1"/>
    <col min="1800" max="1800" width="17.28515625" style="151" customWidth="1"/>
    <col min="1801" max="2048" width="9.140625" style="151"/>
    <col min="2049" max="2049" width="1.140625" style="151" customWidth="1"/>
    <col min="2050" max="2050" width="20.7109375" style="151" customWidth="1"/>
    <col min="2051" max="2051" width="23.42578125" style="151" customWidth="1"/>
    <col min="2052" max="2052" width="20.5703125" style="151" customWidth="1"/>
    <col min="2053" max="2053" width="20" style="151" customWidth="1"/>
    <col min="2054" max="2054" width="23.140625" style="151" customWidth="1"/>
    <col min="2055" max="2055" width="13.5703125" style="151" customWidth="1"/>
    <col min="2056" max="2056" width="17.28515625" style="151" customWidth="1"/>
    <col min="2057" max="2304" width="9.140625" style="151"/>
    <col min="2305" max="2305" width="1.140625" style="151" customWidth="1"/>
    <col min="2306" max="2306" width="20.7109375" style="151" customWidth="1"/>
    <col min="2307" max="2307" width="23.42578125" style="151" customWidth="1"/>
    <col min="2308" max="2308" width="20.5703125" style="151" customWidth="1"/>
    <col min="2309" max="2309" width="20" style="151" customWidth="1"/>
    <col min="2310" max="2310" width="23.140625" style="151" customWidth="1"/>
    <col min="2311" max="2311" width="13.5703125" style="151" customWidth="1"/>
    <col min="2312" max="2312" width="17.28515625" style="151" customWidth="1"/>
    <col min="2313" max="2560" width="9.140625" style="151"/>
    <col min="2561" max="2561" width="1.140625" style="151" customWidth="1"/>
    <col min="2562" max="2562" width="20.7109375" style="151" customWidth="1"/>
    <col min="2563" max="2563" width="23.42578125" style="151" customWidth="1"/>
    <col min="2564" max="2564" width="20.5703125" style="151" customWidth="1"/>
    <col min="2565" max="2565" width="20" style="151" customWidth="1"/>
    <col min="2566" max="2566" width="23.140625" style="151" customWidth="1"/>
    <col min="2567" max="2567" width="13.5703125" style="151" customWidth="1"/>
    <col min="2568" max="2568" width="17.28515625" style="151" customWidth="1"/>
    <col min="2569" max="2816" width="9.140625" style="151"/>
    <col min="2817" max="2817" width="1.140625" style="151" customWidth="1"/>
    <col min="2818" max="2818" width="20.7109375" style="151" customWidth="1"/>
    <col min="2819" max="2819" width="23.42578125" style="151" customWidth="1"/>
    <col min="2820" max="2820" width="20.5703125" style="151" customWidth="1"/>
    <col min="2821" max="2821" width="20" style="151" customWidth="1"/>
    <col min="2822" max="2822" width="23.140625" style="151" customWidth="1"/>
    <col min="2823" max="2823" width="13.5703125" style="151" customWidth="1"/>
    <col min="2824" max="2824" width="17.28515625" style="151" customWidth="1"/>
    <col min="2825" max="3072" width="9.140625" style="151"/>
    <col min="3073" max="3073" width="1.140625" style="151" customWidth="1"/>
    <col min="3074" max="3074" width="20.7109375" style="151" customWidth="1"/>
    <col min="3075" max="3075" width="23.42578125" style="151" customWidth="1"/>
    <col min="3076" max="3076" width="20.5703125" style="151" customWidth="1"/>
    <col min="3077" max="3077" width="20" style="151" customWidth="1"/>
    <col min="3078" max="3078" width="23.140625" style="151" customWidth="1"/>
    <col min="3079" max="3079" width="13.5703125" style="151" customWidth="1"/>
    <col min="3080" max="3080" width="17.28515625" style="151" customWidth="1"/>
    <col min="3081" max="3328" width="9.140625" style="151"/>
    <col min="3329" max="3329" width="1.140625" style="151" customWidth="1"/>
    <col min="3330" max="3330" width="20.7109375" style="151" customWidth="1"/>
    <col min="3331" max="3331" width="23.42578125" style="151" customWidth="1"/>
    <col min="3332" max="3332" width="20.5703125" style="151" customWidth="1"/>
    <col min="3333" max="3333" width="20" style="151" customWidth="1"/>
    <col min="3334" max="3334" width="23.140625" style="151" customWidth="1"/>
    <col min="3335" max="3335" width="13.5703125" style="151" customWidth="1"/>
    <col min="3336" max="3336" width="17.28515625" style="151" customWidth="1"/>
    <col min="3337" max="3584" width="9.140625" style="151"/>
    <col min="3585" max="3585" width="1.140625" style="151" customWidth="1"/>
    <col min="3586" max="3586" width="20.7109375" style="151" customWidth="1"/>
    <col min="3587" max="3587" width="23.42578125" style="151" customWidth="1"/>
    <col min="3588" max="3588" width="20.5703125" style="151" customWidth="1"/>
    <col min="3589" max="3589" width="20" style="151" customWidth="1"/>
    <col min="3590" max="3590" width="23.140625" style="151" customWidth="1"/>
    <col min="3591" max="3591" width="13.5703125" style="151" customWidth="1"/>
    <col min="3592" max="3592" width="17.28515625" style="151" customWidth="1"/>
    <col min="3593" max="3840" width="9.140625" style="151"/>
    <col min="3841" max="3841" width="1.140625" style="151" customWidth="1"/>
    <col min="3842" max="3842" width="20.7109375" style="151" customWidth="1"/>
    <col min="3843" max="3843" width="23.42578125" style="151" customWidth="1"/>
    <col min="3844" max="3844" width="20.5703125" style="151" customWidth="1"/>
    <col min="3845" max="3845" width="20" style="151" customWidth="1"/>
    <col min="3846" max="3846" width="23.140625" style="151" customWidth="1"/>
    <col min="3847" max="3847" width="13.5703125" style="151" customWidth="1"/>
    <col min="3848" max="3848" width="17.28515625" style="151" customWidth="1"/>
    <col min="3849" max="4096" width="9.140625" style="151"/>
    <col min="4097" max="4097" width="1.140625" style="151" customWidth="1"/>
    <col min="4098" max="4098" width="20.7109375" style="151" customWidth="1"/>
    <col min="4099" max="4099" width="23.42578125" style="151" customWidth="1"/>
    <col min="4100" max="4100" width="20.5703125" style="151" customWidth="1"/>
    <col min="4101" max="4101" width="20" style="151" customWidth="1"/>
    <col min="4102" max="4102" width="23.140625" style="151" customWidth="1"/>
    <col min="4103" max="4103" width="13.5703125" style="151" customWidth="1"/>
    <col min="4104" max="4104" width="17.28515625" style="151" customWidth="1"/>
    <col min="4105" max="4352" width="9.140625" style="151"/>
    <col min="4353" max="4353" width="1.140625" style="151" customWidth="1"/>
    <col min="4354" max="4354" width="20.7109375" style="151" customWidth="1"/>
    <col min="4355" max="4355" width="23.42578125" style="151" customWidth="1"/>
    <col min="4356" max="4356" width="20.5703125" style="151" customWidth="1"/>
    <col min="4357" max="4357" width="20" style="151" customWidth="1"/>
    <col min="4358" max="4358" width="23.140625" style="151" customWidth="1"/>
    <col min="4359" max="4359" width="13.5703125" style="151" customWidth="1"/>
    <col min="4360" max="4360" width="17.28515625" style="151" customWidth="1"/>
    <col min="4361" max="4608" width="9.140625" style="151"/>
    <col min="4609" max="4609" width="1.140625" style="151" customWidth="1"/>
    <col min="4610" max="4610" width="20.7109375" style="151" customWidth="1"/>
    <col min="4611" max="4611" width="23.42578125" style="151" customWidth="1"/>
    <col min="4612" max="4612" width="20.5703125" style="151" customWidth="1"/>
    <col min="4613" max="4613" width="20" style="151" customWidth="1"/>
    <col min="4614" max="4614" width="23.140625" style="151" customWidth="1"/>
    <col min="4615" max="4615" width="13.5703125" style="151" customWidth="1"/>
    <col min="4616" max="4616" width="17.28515625" style="151" customWidth="1"/>
    <col min="4617" max="4864" width="9.140625" style="151"/>
    <col min="4865" max="4865" width="1.140625" style="151" customWidth="1"/>
    <col min="4866" max="4866" width="20.7109375" style="151" customWidth="1"/>
    <col min="4867" max="4867" width="23.42578125" style="151" customWidth="1"/>
    <col min="4868" max="4868" width="20.5703125" style="151" customWidth="1"/>
    <col min="4869" max="4869" width="20" style="151" customWidth="1"/>
    <col min="4870" max="4870" width="23.140625" style="151" customWidth="1"/>
    <col min="4871" max="4871" width="13.5703125" style="151" customWidth="1"/>
    <col min="4872" max="4872" width="17.28515625" style="151" customWidth="1"/>
    <col min="4873" max="5120" width="9.140625" style="151"/>
    <col min="5121" max="5121" width="1.140625" style="151" customWidth="1"/>
    <col min="5122" max="5122" width="20.7109375" style="151" customWidth="1"/>
    <col min="5123" max="5123" width="23.42578125" style="151" customWidth="1"/>
    <col min="5124" max="5124" width="20.5703125" style="151" customWidth="1"/>
    <col min="5125" max="5125" width="20" style="151" customWidth="1"/>
    <col min="5126" max="5126" width="23.140625" style="151" customWidth="1"/>
    <col min="5127" max="5127" width="13.5703125" style="151" customWidth="1"/>
    <col min="5128" max="5128" width="17.28515625" style="151" customWidth="1"/>
    <col min="5129" max="5376" width="9.140625" style="151"/>
    <col min="5377" max="5377" width="1.140625" style="151" customWidth="1"/>
    <col min="5378" max="5378" width="20.7109375" style="151" customWidth="1"/>
    <col min="5379" max="5379" width="23.42578125" style="151" customWidth="1"/>
    <col min="5380" max="5380" width="20.5703125" style="151" customWidth="1"/>
    <col min="5381" max="5381" width="20" style="151" customWidth="1"/>
    <col min="5382" max="5382" width="23.140625" style="151" customWidth="1"/>
    <col min="5383" max="5383" width="13.5703125" style="151" customWidth="1"/>
    <col min="5384" max="5384" width="17.28515625" style="151" customWidth="1"/>
    <col min="5385" max="5632" width="9.140625" style="151"/>
    <col min="5633" max="5633" width="1.140625" style="151" customWidth="1"/>
    <col min="5634" max="5634" width="20.7109375" style="151" customWidth="1"/>
    <col min="5635" max="5635" width="23.42578125" style="151" customWidth="1"/>
    <col min="5636" max="5636" width="20.5703125" style="151" customWidth="1"/>
    <col min="5637" max="5637" width="20" style="151" customWidth="1"/>
    <col min="5638" max="5638" width="23.140625" style="151" customWidth="1"/>
    <col min="5639" max="5639" width="13.5703125" style="151" customWidth="1"/>
    <col min="5640" max="5640" width="17.28515625" style="151" customWidth="1"/>
    <col min="5641" max="5888" width="9.140625" style="151"/>
    <col min="5889" max="5889" width="1.140625" style="151" customWidth="1"/>
    <col min="5890" max="5890" width="20.7109375" style="151" customWidth="1"/>
    <col min="5891" max="5891" width="23.42578125" style="151" customWidth="1"/>
    <col min="5892" max="5892" width="20.5703125" style="151" customWidth="1"/>
    <col min="5893" max="5893" width="20" style="151" customWidth="1"/>
    <col min="5894" max="5894" width="23.140625" style="151" customWidth="1"/>
    <col min="5895" max="5895" width="13.5703125" style="151" customWidth="1"/>
    <col min="5896" max="5896" width="17.28515625" style="151" customWidth="1"/>
    <col min="5897" max="6144" width="9.140625" style="151"/>
    <col min="6145" max="6145" width="1.140625" style="151" customWidth="1"/>
    <col min="6146" max="6146" width="20.7109375" style="151" customWidth="1"/>
    <col min="6147" max="6147" width="23.42578125" style="151" customWidth="1"/>
    <col min="6148" max="6148" width="20.5703125" style="151" customWidth="1"/>
    <col min="6149" max="6149" width="20" style="151" customWidth="1"/>
    <col min="6150" max="6150" width="23.140625" style="151" customWidth="1"/>
    <col min="6151" max="6151" width="13.5703125" style="151" customWidth="1"/>
    <col min="6152" max="6152" width="17.28515625" style="151" customWidth="1"/>
    <col min="6153" max="6400" width="9.140625" style="151"/>
    <col min="6401" max="6401" width="1.140625" style="151" customWidth="1"/>
    <col min="6402" max="6402" width="20.7109375" style="151" customWidth="1"/>
    <col min="6403" max="6403" width="23.42578125" style="151" customWidth="1"/>
    <col min="6404" max="6404" width="20.5703125" style="151" customWidth="1"/>
    <col min="6405" max="6405" width="20" style="151" customWidth="1"/>
    <col min="6406" max="6406" width="23.140625" style="151" customWidth="1"/>
    <col min="6407" max="6407" width="13.5703125" style="151" customWidth="1"/>
    <col min="6408" max="6408" width="17.28515625" style="151" customWidth="1"/>
    <col min="6409" max="6656" width="9.140625" style="151"/>
    <col min="6657" max="6657" width="1.140625" style="151" customWidth="1"/>
    <col min="6658" max="6658" width="20.7109375" style="151" customWidth="1"/>
    <col min="6659" max="6659" width="23.42578125" style="151" customWidth="1"/>
    <col min="6660" max="6660" width="20.5703125" style="151" customWidth="1"/>
    <col min="6661" max="6661" width="20" style="151" customWidth="1"/>
    <col min="6662" max="6662" width="23.140625" style="151" customWidth="1"/>
    <col min="6663" max="6663" width="13.5703125" style="151" customWidth="1"/>
    <col min="6664" max="6664" width="17.28515625" style="151" customWidth="1"/>
    <col min="6665" max="6912" width="9.140625" style="151"/>
    <col min="6913" max="6913" width="1.140625" style="151" customWidth="1"/>
    <col min="6914" max="6914" width="20.7109375" style="151" customWidth="1"/>
    <col min="6915" max="6915" width="23.42578125" style="151" customWidth="1"/>
    <col min="6916" max="6916" width="20.5703125" style="151" customWidth="1"/>
    <col min="6917" max="6917" width="20" style="151" customWidth="1"/>
    <col min="6918" max="6918" width="23.140625" style="151" customWidth="1"/>
    <col min="6919" max="6919" width="13.5703125" style="151" customWidth="1"/>
    <col min="6920" max="6920" width="17.28515625" style="151" customWidth="1"/>
    <col min="6921" max="7168" width="9.140625" style="151"/>
    <col min="7169" max="7169" width="1.140625" style="151" customWidth="1"/>
    <col min="7170" max="7170" width="20.7109375" style="151" customWidth="1"/>
    <col min="7171" max="7171" width="23.42578125" style="151" customWidth="1"/>
    <col min="7172" max="7172" width="20.5703125" style="151" customWidth="1"/>
    <col min="7173" max="7173" width="20" style="151" customWidth="1"/>
    <col min="7174" max="7174" width="23.140625" style="151" customWidth="1"/>
    <col min="7175" max="7175" width="13.5703125" style="151" customWidth="1"/>
    <col min="7176" max="7176" width="17.28515625" style="151" customWidth="1"/>
    <col min="7177" max="7424" width="9.140625" style="151"/>
    <col min="7425" max="7425" width="1.140625" style="151" customWidth="1"/>
    <col min="7426" max="7426" width="20.7109375" style="151" customWidth="1"/>
    <col min="7427" max="7427" width="23.42578125" style="151" customWidth="1"/>
    <col min="7428" max="7428" width="20.5703125" style="151" customWidth="1"/>
    <col min="7429" max="7429" width="20" style="151" customWidth="1"/>
    <col min="7430" max="7430" width="23.140625" style="151" customWidth="1"/>
    <col min="7431" max="7431" width="13.5703125" style="151" customWidth="1"/>
    <col min="7432" max="7432" width="17.28515625" style="151" customWidth="1"/>
    <col min="7433" max="7680" width="9.140625" style="151"/>
    <col min="7681" max="7681" width="1.140625" style="151" customWidth="1"/>
    <col min="7682" max="7682" width="20.7109375" style="151" customWidth="1"/>
    <col min="7683" max="7683" width="23.42578125" style="151" customWidth="1"/>
    <col min="7684" max="7684" width="20.5703125" style="151" customWidth="1"/>
    <col min="7685" max="7685" width="20" style="151" customWidth="1"/>
    <col min="7686" max="7686" width="23.140625" style="151" customWidth="1"/>
    <col min="7687" max="7687" width="13.5703125" style="151" customWidth="1"/>
    <col min="7688" max="7688" width="17.28515625" style="151" customWidth="1"/>
    <col min="7689" max="7936" width="9.140625" style="151"/>
    <col min="7937" max="7937" width="1.140625" style="151" customWidth="1"/>
    <col min="7938" max="7938" width="20.7109375" style="151" customWidth="1"/>
    <col min="7939" max="7939" width="23.42578125" style="151" customWidth="1"/>
    <col min="7940" max="7940" width="20.5703125" style="151" customWidth="1"/>
    <col min="7941" max="7941" width="20" style="151" customWidth="1"/>
    <col min="7942" max="7942" width="23.140625" style="151" customWidth="1"/>
    <col min="7943" max="7943" width="13.5703125" style="151" customWidth="1"/>
    <col min="7944" max="7944" width="17.28515625" style="151" customWidth="1"/>
    <col min="7945" max="8192" width="9.140625" style="151"/>
    <col min="8193" max="8193" width="1.140625" style="151" customWidth="1"/>
    <col min="8194" max="8194" width="20.7109375" style="151" customWidth="1"/>
    <col min="8195" max="8195" width="23.42578125" style="151" customWidth="1"/>
    <col min="8196" max="8196" width="20.5703125" style="151" customWidth="1"/>
    <col min="8197" max="8197" width="20" style="151" customWidth="1"/>
    <col min="8198" max="8198" width="23.140625" style="151" customWidth="1"/>
    <col min="8199" max="8199" width="13.5703125" style="151" customWidth="1"/>
    <col min="8200" max="8200" width="17.28515625" style="151" customWidth="1"/>
    <col min="8201" max="8448" width="9.140625" style="151"/>
    <col min="8449" max="8449" width="1.140625" style="151" customWidth="1"/>
    <col min="8450" max="8450" width="20.7109375" style="151" customWidth="1"/>
    <col min="8451" max="8451" width="23.42578125" style="151" customWidth="1"/>
    <col min="8452" max="8452" width="20.5703125" style="151" customWidth="1"/>
    <col min="8453" max="8453" width="20" style="151" customWidth="1"/>
    <col min="8454" max="8454" width="23.140625" style="151" customWidth="1"/>
    <col min="8455" max="8455" width="13.5703125" style="151" customWidth="1"/>
    <col min="8456" max="8456" width="17.28515625" style="151" customWidth="1"/>
    <col min="8457" max="8704" width="9.140625" style="151"/>
    <col min="8705" max="8705" width="1.140625" style="151" customWidth="1"/>
    <col min="8706" max="8706" width="20.7109375" style="151" customWidth="1"/>
    <col min="8707" max="8707" width="23.42578125" style="151" customWidth="1"/>
    <col min="8708" max="8708" width="20.5703125" style="151" customWidth="1"/>
    <col min="8709" max="8709" width="20" style="151" customWidth="1"/>
    <col min="8710" max="8710" width="23.140625" style="151" customWidth="1"/>
    <col min="8711" max="8711" width="13.5703125" style="151" customWidth="1"/>
    <col min="8712" max="8712" width="17.28515625" style="151" customWidth="1"/>
    <col min="8713" max="8960" width="9.140625" style="151"/>
    <col min="8961" max="8961" width="1.140625" style="151" customWidth="1"/>
    <col min="8962" max="8962" width="20.7109375" style="151" customWidth="1"/>
    <col min="8963" max="8963" width="23.42578125" style="151" customWidth="1"/>
    <col min="8964" max="8964" width="20.5703125" style="151" customWidth="1"/>
    <col min="8965" max="8965" width="20" style="151" customWidth="1"/>
    <col min="8966" max="8966" width="23.140625" style="151" customWidth="1"/>
    <col min="8967" max="8967" width="13.5703125" style="151" customWidth="1"/>
    <col min="8968" max="8968" width="17.28515625" style="151" customWidth="1"/>
    <col min="8969" max="9216" width="9.140625" style="151"/>
    <col min="9217" max="9217" width="1.140625" style="151" customWidth="1"/>
    <col min="9218" max="9218" width="20.7109375" style="151" customWidth="1"/>
    <col min="9219" max="9219" width="23.42578125" style="151" customWidth="1"/>
    <col min="9220" max="9220" width="20.5703125" style="151" customWidth="1"/>
    <col min="9221" max="9221" width="20" style="151" customWidth="1"/>
    <col min="9222" max="9222" width="23.140625" style="151" customWidth="1"/>
    <col min="9223" max="9223" width="13.5703125" style="151" customWidth="1"/>
    <col min="9224" max="9224" width="17.28515625" style="151" customWidth="1"/>
    <col min="9225" max="9472" width="9.140625" style="151"/>
    <col min="9473" max="9473" width="1.140625" style="151" customWidth="1"/>
    <col min="9474" max="9474" width="20.7109375" style="151" customWidth="1"/>
    <col min="9475" max="9475" width="23.42578125" style="151" customWidth="1"/>
    <col min="9476" max="9476" width="20.5703125" style="151" customWidth="1"/>
    <col min="9477" max="9477" width="20" style="151" customWidth="1"/>
    <col min="9478" max="9478" width="23.140625" style="151" customWidth="1"/>
    <col min="9479" max="9479" width="13.5703125" style="151" customWidth="1"/>
    <col min="9480" max="9480" width="17.28515625" style="151" customWidth="1"/>
    <col min="9481" max="9728" width="9.140625" style="151"/>
    <col min="9729" max="9729" width="1.140625" style="151" customWidth="1"/>
    <col min="9730" max="9730" width="20.7109375" style="151" customWidth="1"/>
    <col min="9731" max="9731" width="23.42578125" style="151" customWidth="1"/>
    <col min="9732" max="9732" width="20.5703125" style="151" customWidth="1"/>
    <col min="9733" max="9733" width="20" style="151" customWidth="1"/>
    <col min="9734" max="9734" width="23.140625" style="151" customWidth="1"/>
    <col min="9735" max="9735" width="13.5703125" style="151" customWidth="1"/>
    <col min="9736" max="9736" width="17.28515625" style="151" customWidth="1"/>
    <col min="9737" max="9984" width="9.140625" style="151"/>
    <col min="9985" max="9985" width="1.140625" style="151" customWidth="1"/>
    <col min="9986" max="9986" width="20.7109375" style="151" customWidth="1"/>
    <col min="9987" max="9987" width="23.42578125" style="151" customWidth="1"/>
    <col min="9988" max="9988" width="20.5703125" style="151" customWidth="1"/>
    <col min="9989" max="9989" width="20" style="151" customWidth="1"/>
    <col min="9990" max="9990" width="23.140625" style="151" customWidth="1"/>
    <col min="9991" max="9991" width="13.5703125" style="151" customWidth="1"/>
    <col min="9992" max="9992" width="17.28515625" style="151" customWidth="1"/>
    <col min="9993" max="10240" width="9.140625" style="151"/>
    <col min="10241" max="10241" width="1.140625" style="151" customWidth="1"/>
    <col min="10242" max="10242" width="20.7109375" style="151" customWidth="1"/>
    <col min="10243" max="10243" width="23.42578125" style="151" customWidth="1"/>
    <col min="10244" max="10244" width="20.5703125" style="151" customWidth="1"/>
    <col min="10245" max="10245" width="20" style="151" customWidth="1"/>
    <col min="10246" max="10246" width="23.140625" style="151" customWidth="1"/>
    <col min="10247" max="10247" width="13.5703125" style="151" customWidth="1"/>
    <col min="10248" max="10248" width="17.28515625" style="151" customWidth="1"/>
    <col min="10249" max="10496" width="9.140625" style="151"/>
    <col min="10497" max="10497" width="1.140625" style="151" customWidth="1"/>
    <col min="10498" max="10498" width="20.7109375" style="151" customWidth="1"/>
    <col min="10499" max="10499" width="23.42578125" style="151" customWidth="1"/>
    <col min="10500" max="10500" width="20.5703125" style="151" customWidth="1"/>
    <col min="10501" max="10501" width="20" style="151" customWidth="1"/>
    <col min="10502" max="10502" width="23.140625" style="151" customWidth="1"/>
    <col min="10503" max="10503" width="13.5703125" style="151" customWidth="1"/>
    <col min="10504" max="10504" width="17.28515625" style="151" customWidth="1"/>
    <col min="10505" max="10752" width="9.140625" style="151"/>
    <col min="10753" max="10753" width="1.140625" style="151" customWidth="1"/>
    <col min="10754" max="10754" width="20.7109375" style="151" customWidth="1"/>
    <col min="10755" max="10755" width="23.42578125" style="151" customWidth="1"/>
    <col min="10756" max="10756" width="20.5703125" style="151" customWidth="1"/>
    <col min="10757" max="10757" width="20" style="151" customWidth="1"/>
    <col min="10758" max="10758" width="23.140625" style="151" customWidth="1"/>
    <col min="10759" max="10759" width="13.5703125" style="151" customWidth="1"/>
    <col min="10760" max="10760" width="17.28515625" style="151" customWidth="1"/>
    <col min="10761" max="11008" width="9.140625" style="151"/>
    <col min="11009" max="11009" width="1.140625" style="151" customWidth="1"/>
    <col min="11010" max="11010" width="20.7109375" style="151" customWidth="1"/>
    <col min="11011" max="11011" width="23.42578125" style="151" customWidth="1"/>
    <col min="11012" max="11012" width="20.5703125" style="151" customWidth="1"/>
    <col min="11013" max="11013" width="20" style="151" customWidth="1"/>
    <col min="11014" max="11014" width="23.140625" style="151" customWidth="1"/>
    <col min="11015" max="11015" width="13.5703125" style="151" customWidth="1"/>
    <col min="11016" max="11016" width="17.28515625" style="151" customWidth="1"/>
    <col min="11017" max="11264" width="9.140625" style="151"/>
    <col min="11265" max="11265" width="1.140625" style="151" customWidth="1"/>
    <col min="11266" max="11266" width="20.7109375" style="151" customWidth="1"/>
    <col min="11267" max="11267" width="23.42578125" style="151" customWidth="1"/>
    <col min="11268" max="11268" width="20.5703125" style="151" customWidth="1"/>
    <col min="11269" max="11269" width="20" style="151" customWidth="1"/>
    <col min="11270" max="11270" width="23.140625" style="151" customWidth="1"/>
    <col min="11271" max="11271" width="13.5703125" style="151" customWidth="1"/>
    <col min="11272" max="11272" width="17.28515625" style="151" customWidth="1"/>
    <col min="11273" max="11520" width="9.140625" style="151"/>
    <col min="11521" max="11521" width="1.140625" style="151" customWidth="1"/>
    <col min="11522" max="11522" width="20.7109375" style="151" customWidth="1"/>
    <col min="11523" max="11523" width="23.42578125" style="151" customWidth="1"/>
    <col min="11524" max="11524" width="20.5703125" style="151" customWidth="1"/>
    <col min="11525" max="11525" width="20" style="151" customWidth="1"/>
    <col min="11526" max="11526" width="23.140625" style="151" customWidth="1"/>
    <col min="11527" max="11527" width="13.5703125" style="151" customWidth="1"/>
    <col min="11528" max="11528" width="17.28515625" style="151" customWidth="1"/>
    <col min="11529" max="11776" width="9.140625" style="151"/>
    <col min="11777" max="11777" width="1.140625" style="151" customWidth="1"/>
    <col min="11778" max="11778" width="20.7109375" style="151" customWidth="1"/>
    <col min="11779" max="11779" width="23.42578125" style="151" customWidth="1"/>
    <col min="11780" max="11780" width="20.5703125" style="151" customWidth="1"/>
    <col min="11781" max="11781" width="20" style="151" customWidth="1"/>
    <col min="11782" max="11782" width="23.140625" style="151" customWidth="1"/>
    <col min="11783" max="11783" width="13.5703125" style="151" customWidth="1"/>
    <col min="11784" max="11784" width="17.28515625" style="151" customWidth="1"/>
    <col min="11785" max="12032" width="9.140625" style="151"/>
    <col min="12033" max="12033" width="1.140625" style="151" customWidth="1"/>
    <col min="12034" max="12034" width="20.7109375" style="151" customWidth="1"/>
    <col min="12035" max="12035" width="23.42578125" style="151" customWidth="1"/>
    <col min="12036" max="12036" width="20.5703125" style="151" customWidth="1"/>
    <col min="12037" max="12037" width="20" style="151" customWidth="1"/>
    <col min="12038" max="12038" width="23.140625" style="151" customWidth="1"/>
    <col min="12039" max="12039" width="13.5703125" style="151" customWidth="1"/>
    <col min="12040" max="12040" width="17.28515625" style="151" customWidth="1"/>
    <col min="12041" max="12288" width="9.140625" style="151"/>
    <col min="12289" max="12289" width="1.140625" style="151" customWidth="1"/>
    <col min="12290" max="12290" width="20.7109375" style="151" customWidth="1"/>
    <col min="12291" max="12291" width="23.42578125" style="151" customWidth="1"/>
    <col min="12292" max="12292" width="20.5703125" style="151" customWidth="1"/>
    <col min="12293" max="12293" width="20" style="151" customWidth="1"/>
    <col min="12294" max="12294" width="23.140625" style="151" customWidth="1"/>
    <col min="12295" max="12295" width="13.5703125" style="151" customWidth="1"/>
    <col min="12296" max="12296" width="17.28515625" style="151" customWidth="1"/>
    <col min="12297" max="12544" width="9.140625" style="151"/>
    <col min="12545" max="12545" width="1.140625" style="151" customWidth="1"/>
    <col min="12546" max="12546" width="20.7109375" style="151" customWidth="1"/>
    <col min="12547" max="12547" width="23.42578125" style="151" customWidth="1"/>
    <col min="12548" max="12548" width="20.5703125" style="151" customWidth="1"/>
    <col min="12549" max="12549" width="20" style="151" customWidth="1"/>
    <col min="12550" max="12550" width="23.140625" style="151" customWidth="1"/>
    <col min="12551" max="12551" width="13.5703125" style="151" customWidth="1"/>
    <col min="12552" max="12552" width="17.28515625" style="151" customWidth="1"/>
    <col min="12553" max="12800" width="9.140625" style="151"/>
    <col min="12801" max="12801" width="1.140625" style="151" customWidth="1"/>
    <col min="12802" max="12802" width="20.7109375" style="151" customWidth="1"/>
    <col min="12803" max="12803" width="23.42578125" style="151" customWidth="1"/>
    <col min="12804" max="12804" width="20.5703125" style="151" customWidth="1"/>
    <col min="12805" max="12805" width="20" style="151" customWidth="1"/>
    <col min="12806" max="12806" width="23.140625" style="151" customWidth="1"/>
    <col min="12807" max="12807" width="13.5703125" style="151" customWidth="1"/>
    <col min="12808" max="12808" width="17.28515625" style="151" customWidth="1"/>
    <col min="12809" max="13056" width="9.140625" style="151"/>
    <col min="13057" max="13057" width="1.140625" style="151" customWidth="1"/>
    <col min="13058" max="13058" width="20.7109375" style="151" customWidth="1"/>
    <col min="13059" max="13059" width="23.42578125" style="151" customWidth="1"/>
    <col min="13060" max="13060" width="20.5703125" style="151" customWidth="1"/>
    <col min="13061" max="13061" width="20" style="151" customWidth="1"/>
    <col min="13062" max="13062" width="23.140625" style="151" customWidth="1"/>
    <col min="13063" max="13063" width="13.5703125" style="151" customWidth="1"/>
    <col min="13064" max="13064" width="17.28515625" style="151" customWidth="1"/>
    <col min="13065" max="13312" width="9.140625" style="151"/>
    <col min="13313" max="13313" width="1.140625" style="151" customWidth="1"/>
    <col min="13314" max="13314" width="20.7109375" style="151" customWidth="1"/>
    <col min="13315" max="13315" width="23.42578125" style="151" customWidth="1"/>
    <col min="13316" max="13316" width="20.5703125" style="151" customWidth="1"/>
    <col min="13317" max="13317" width="20" style="151" customWidth="1"/>
    <col min="13318" max="13318" width="23.140625" style="151" customWidth="1"/>
    <col min="13319" max="13319" width="13.5703125" style="151" customWidth="1"/>
    <col min="13320" max="13320" width="17.28515625" style="151" customWidth="1"/>
    <col min="13321" max="13568" width="9.140625" style="151"/>
    <col min="13569" max="13569" width="1.140625" style="151" customWidth="1"/>
    <col min="13570" max="13570" width="20.7109375" style="151" customWidth="1"/>
    <col min="13571" max="13571" width="23.42578125" style="151" customWidth="1"/>
    <col min="13572" max="13572" width="20.5703125" style="151" customWidth="1"/>
    <col min="13573" max="13573" width="20" style="151" customWidth="1"/>
    <col min="13574" max="13574" width="23.140625" style="151" customWidth="1"/>
    <col min="13575" max="13575" width="13.5703125" style="151" customWidth="1"/>
    <col min="13576" max="13576" width="17.28515625" style="151" customWidth="1"/>
    <col min="13577" max="13824" width="9.140625" style="151"/>
    <col min="13825" max="13825" width="1.140625" style="151" customWidth="1"/>
    <col min="13826" max="13826" width="20.7109375" style="151" customWidth="1"/>
    <col min="13827" max="13827" width="23.42578125" style="151" customWidth="1"/>
    <col min="13828" max="13828" width="20.5703125" style="151" customWidth="1"/>
    <col min="13829" max="13829" width="20" style="151" customWidth="1"/>
    <col min="13830" max="13830" width="23.140625" style="151" customWidth="1"/>
    <col min="13831" max="13831" width="13.5703125" style="151" customWidth="1"/>
    <col min="13832" max="13832" width="17.28515625" style="151" customWidth="1"/>
    <col min="13833" max="14080" width="9.140625" style="151"/>
    <col min="14081" max="14081" width="1.140625" style="151" customWidth="1"/>
    <col min="14082" max="14082" width="20.7109375" style="151" customWidth="1"/>
    <col min="14083" max="14083" width="23.42578125" style="151" customWidth="1"/>
    <col min="14084" max="14084" width="20.5703125" style="151" customWidth="1"/>
    <col min="14085" max="14085" width="20" style="151" customWidth="1"/>
    <col min="14086" max="14086" width="23.140625" style="151" customWidth="1"/>
    <col min="14087" max="14087" width="13.5703125" style="151" customWidth="1"/>
    <col min="14088" max="14088" width="17.28515625" style="151" customWidth="1"/>
    <col min="14089" max="14336" width="9.140625" style="151"/>
    <col min="14337" max="14337" width="1.140625" style="151" customWidth="1"/>
    <col min="14338" max="14338" width="20.7109375" style="151" customWidth="1"/>
    <col min="14339" max="14339" width="23.42578125" style="151" customWidth="1"/>
    <col min="14340" max="14340" width="20.5703125" style="151" customWidth="1"/>
    <col min="14341" max="14341" width="20" style="151" customWidth="1"/>
    <col min="14342" max="14342" width="23.140625" style="151" customWidth="1"/>
    <col min="14343" max="14343" width="13.5703125" style="151" customWidth="1"/>
    <col min="14344" max="14344" width="17.28515625" style="151" customWidth="1"/>
    <col min="14345" max="14592" width="9.140625" style="151"/>
    <col min="14593" max="14593" width="1.140625" style="151" customWidth="1"/>
    <col min="14594" max="14594" width="20.7109375" style="151" customWidth="1"/>
    <col min="14595" max="14595" width="23.42578125" style="151" customWidth="1"/>
    <col min="14596" max="14596" width="20.5703125" style="151" customWidth="1"/>
    <col min="14597" max="14597" width="20" style="151" customWidth="1"/>
    <col min="14598" max="14598" width="23.140625" style="151" customWidth="1"/>
    <col min="14599" max="14599" width="13.5703125" style="151" customWidth="1"/>
    <col min="14600" max="14600" width="17.28515625" style="151" customWidth="1"/>
    <col min="14601" max="14848" width="9.140625" style="151"/>
    <col min="14849" max="14849" width="1.140625" style="151" customWidth="1"/>
    <col min="14850" max="14850" width="20.7109375" style="151" customWidth="1"/>
    <col min="14851" max="14851" width="23.42578125" style="151" customWidth="1"/>
    <col min="14852" max="14852" width="20.5703125" style="151" customWidth="1"/>
    <col min="14853" max="14853" width="20" style="151" customWidth="1"/>
    <col min="14854" max="14854" width="23.140625" style="151" customWidth="1"/>
    <col min="14855" max="14855" width="13.5703125" style="151" customWidth="1"/>
    <col min="14856" max="14856" width="17.28515625" style="151" customWidth="1"/>
    <col min="14857" max="15104" width="9.140625" style="151"/>
    <col min="15105" max="15105" width="1.140625" style="151" customWidth="1"/>
    <col min="15106" max="15106" width="20.7109375" style="151" customWidth="1"/>
    <col min="15107" max="15107" width="23.42578125" style="151" customWidth="1"/>
    <col min="15108" max="15108" width="20.5703125" style="151" customWidth="1"/>
    <col min="15109" max="15109" width="20" style="151" customWidth="1"/>
    <col min="15110" max="15110" width="23.140625" style="151" customWidth="1"/>
    <col min="15111" max="15111" width="13.5703125" style="151" customWidth="1"/>
    <col min="15112" max="15112" width="17.28515625" style="151" customWidth="1"/>
    <col min="15113" max="15360" width="9.140625" style="151"/>
    <col min="15361" max="15361" width="1.140625" style="151" customWidth="1"/>
    <col min="15362" max="15362" width="20.7109375" style="151" customWidth="1"/>
    <col min="15363" max="15363" width="23.42578125" style="151" customWidth="1"/>
    <col min="15364" max="15364" width="20.5703125" style="151" customWidth="1"/>
    <col min="15365" max="15365" width="20" style="151" customWidth="1"/>
    <col min="15366" max="15366" width="23.140625" style="151" customWidth="1"/>
    <col min="15367" max="15367" width="13.5703125" style="151" customWidth="1"/>
    <col min="15368" max="15368" width="17.28515625" style="151" customWidth="1"/>
    <col min="15369" max="15616" width="9.140625" style="151"/>
    <col min="15617" max="15617" width="1.140625" style="151" customWidth="1"/>
    <col min="15618" max="15618" width="20.7109375" style="151" customWidth="1"/>
    <col min="15619" max="15619" width="23.42578125" style="151" customWidth="1"/>
    <col min="15620" max="15620" width="20.5703125" style="151" customWidth="1"/>
    <col min="15621" max="15621" width="20" style="151" customWidth="1"/>
    <col min="15622" max="15622" width="23.140625" style="151" customWidth="1"/>
    <col min="15623" max="15623" width="13.5703125" style="151" customWidth="1"/>
    <col min="15624" max="15624" width="17.28515625" style="151" customWidth="1"/>
    <col min="15625" max="15872" width="9.140625" style="151"/>
    <col min="15873" max="15873" width="1.140625" style="151" customWidth="1"/>
    <col min="15874" max="15874" width="20.7109375" style="151" customWidth="1"/>
    <col min="15875" max="15875" width="23.42578125" style="151" customWidth="1"/>
    <col min="15876" max="15876" width="20.5703125" style="151" customWidth="1"/>
    <col min="15877" max="15877" width="20" style="151" customWidth="1"/>
    <col min="15878" max="15878" width="23.140625" style="151" customWidth="1"/>
    <col min="15879" max="15879" width="13.5703125" style="151" customWidth="1"/>
    <col min="15880" max="15880" width="17.28515625" style="151" customWidth="1"/>
    <col min="15881" max="16128" width="9.140625" style="151"/>
    <col min="16129" max="16129" width="1.140625" style="151" customWidth="1"/>
    <col min="16130" max="16130" width="20.7109375" style="151" customWidth="1"/>
    <col min="16131" max="16131" width="23.42578125" style="151" customWidth="1"/>
    <col min="16132" max="16132" width="20.5703125" style="151" customWidth="1"/>
    <col min="16133" max="16133" width="20" style="151" customWidth="1"/>
    <col min="16134" max="16134" width="23.140625" style="151" customWidth="1"/>
    <col min="16135" max="16135" width="13.5703125" style="151" customWidth="1"/>
    <col min="16136" max="16136" width="17.28515625" style="151" customWidth="1"/>
    <col min="16137" max="16384" width="9.140625" style="151"/>
  </cols>
  <sheetData>
    <row r="1" spans="2:8" s="150" customFormat="1" ht="20.25" x14ac:dyDescent="0.2">
      <c r="B1" s="341" t="str">
        <f>RAMO</f>
        <v>RAMO: ESCOLA SUPERIOR DO MINISTÉRIO PÚBLICO DA UNIÃO</v>
      </c>
      <c r="C1" s="342"/>
      <c r="D1" s="342"/>
      <c r="E1" s="342"/>
      <c r="F1" s="342"/>
      <c r="G1" s="342"/>
      <c r="H1" s="343"/>
    </row>
    <row r="2" spans="2:8" s="150" customFormat="1" ht="20.25" x14ac:dyDescent="0.35">
      <c r="B2" s="347" t="str">
        <f>UG</f>
        <v>UNIDADE GESTORA (SIGLA): ESMPU</v>
      </c>
      <c r="C2" s="348"/>
      <c r="D2" s="348"/>
      <c r="E2" s="348"/>
      <c r="F2" s="349"/>
      <c r="G2" s="181" t="s">
        <v>3</v>
      </c>
      <c r="H2" s="182">
        <f>IF(DATA_DO_ORCAMENTO_ESTIMATIVO="","",DATA_DO_ORCAMENTO_ESTIMATIVO)</f>
        <v>45687</v>
      </c>
    </row>
    <row r="3" spans="2:8" ht="9" customHeight="1" x14ac:dyDescent="0.2"/>
    <row r="4" spans="2:8" ht="20.25" x14ac:dyDescent="0.2">
      <c r="B4" s="344" t="s">
        <v>241</v>
      </c>
      <c r="C4" s="344"/>
      <c r="D4" s="344"/>
      <c r="E4" s="344"/>
      <c r="F4" s="344"/>
      <c r="G4" s="344"/>
      <c r="H4" s="344"/>
    </row>
    <row r="5" spans="2:8" ht="15" customHeight="1" x14ac:dyDescent="0.2">
      <c r="B5" s="345" t="s">
        <v>242</v>
      </c>
      <c r="C5" s="345"/>
      <c r="D5" s="345"/>
      <c r="E5" s="345"/>
      <c r="F5" s="345"/>
      <c r="G5" s="345"/>
      <c r="H5" s="345"/>
    </row>
    <row r="6" spans="2:8" s="153" customFormat="1" ht="10.5" customHeight="1" x14ac:dyDescent="0.2">
      <c r="B6" s="154"/>
      <c r="C6" s="154"/>
      <c r="D6" s="154"/>
      <c r="E6" s="154"/>
      <c r="F6" s="154"/>
      <c r="G6" s="154"/>
      <c r="H6" s="154"/>
    </row>
    <row r="7" spans="2:8" ht="15" customHeight="1" x14ac:dyDescent="0.2">
      <c r="B7" s="346" t="s">
        <v>243</v>
      </c>
      <c r="C7" s="346"/>
      <c r="D7" s="346"/>
      <c r="E7" s="346"/>
      <c r="F7" s="346"/>
      <c r="G7" s="346"/>
      <c r="H7" s="346"/>
    </row>
    <row r="8" spans="2:8" ht="14.25" customHeight="1" x14ac:dyDescent="0.2">
      <c r="B8" s="330" t="s">
        <v>244</v>
      </c>
      <c r="C8" s="330"/>
      <c r="D8" s="330"/>
      <c r="E8" s="330"/>
      <c r="F8" s="330"/>
      <c r="G8" s="330"/>
      <c r="H8" s="330"/>
    </row>
    <row r="9" spans="2:8" ht="15.75" customHeight="1" x14ac:dyDescent="0.2">
      <c r="B9" s="330"/>
      <c r="C9" s="330"/>
      <c r="D9" s="330"/>
      <c r="E9" s="330"/>
      <c r="F9" s="330"/>
      <c r="G9" s="330"/>
      <c r="H9" s="330"/>
    </row>
    <row r="10" spans="2:8" ht="12.75" customHeight="1" x14ac:dyDescent="0.2">
      <c r="B10" s="331" t="s">
        <v>245</v>
      </c>
      <c r="C10" s="328" t="s">
        <v>246</v>
      </c>
      <c r="D10" s="328" t="s">
        <v>247</v>
      </c>
      <c r="E10" s="328" t="s">
        <v>248</v>
      </c>
      <c r="H10" s="151"/>
    </row>
    <row r="11" spans="2:8" ht="21" customHeight="1" x14ac:dyDescent="0.2">
      <c r="B11" s="331"/>
      <c r="C11" s="328"/>
      <c r="D11" s="328"/>
      <c r="E11" s="328"/>
      <c r="H11" s="151"/>
    </row>
    <row r="12" spans="2:8" x14ac:dyDescent="0.2">
      <c r="B12" s="71" t="s">
        <v>249</v>
      </c>
      <c r="C12" s="155">
        <f>IFERROR(1/(PRODUT_AREA_INTERNA*RELACAO_SERVENTES_ENCARREGADOS),0)</f>
        <v>9.6154000000000001E-5</v>
      </c>
      <c r="D12" s="156">
        <f>ENCARREGADOS!VALOR_TOTAL_ENC</f>
        <v>8636.1200000000008</v>
      </c>
      <c r="E12" s="157">
        <f>IFERROR(1/((PRODUT_AREA_INTERNA*RELACAO_SERVENTES_ENCARREGADOS))*ENCARREGADOS!VALOR_TOTAL_ENC,0)</f>
        <v>0.83</v>
      </c>
      <c r="H12" s="151"/>
    </row>
    <row r="13" spans="2:8" x14ac:dyDescent="0.2">
      <c r="B13" s="71" t="s">
        <v>250</v>
      </c>
      <c r="C13" s="158">
        <f>IFERROR(1/PRODUT_AREA_INTERNA,0)</f>
        <v>1.25E-3</v>
      </c>
      <c r="D13" s="159">
        <f>VALOR_TOTAL_SERV</f>
        <v>6213.76</v>
      </c>
      <c r="E13" s="160">
        <f>IFERROR(1/(PRODUT_AREA_INTERNA)*VALOR_TOTAL_SERV,0)</f>
        <v>7.77</v>
      </c>
      <c r="H13" s="151"/>
    </row>
    <row r="14" spans="2:8" x14ac:dyDescent="0.2">
      <c r="B14" s="161" t="s">
        <v>251</v>
      </c>
      <c r="C14" s="161"/>
      <c r="D14" s="161"/>
      <c r="E14" s="162">
        <f>E12+E13</f>
        <v>8.6</v>
      </c>
      <c r="H14" s="151"/>
    </row>
    <row r="15" spans="2:8" ht="3.75" customHeight="1" x14ac:dyDescent="0.2">
      <c r="C15" s="163"/>
      <c r="D15" s="163"/>
      <c r="E15" s="163"/>
      <c r="F15" s="164"/>
      <c r="H15" s="151"/>
    </row>
    <row r="16" spans="2:8" s="165" customFormat="1" ht="15.75" customHeight="1" x14ac:dyDescent="0.2">
      <c r="B16" s="330" t="s">
        <v>252</v>
      </c>
      <c r="C16" s="330"/>
      <c r="D16" s="330"/>
      <c r="E16" s="330"/>
      <c r="F16" s="330"/>
      <c r="G16" s="330"/>
      <c r="H16" s="330"/>
    </row>
    <row r="17" spans="2:8" s="165" customFormat="1" ht="15.75" customHeight="1" x14ac:dyDescent="0.2">
      <c r="B17" s="330"/>
      <c r="C17" s="330"/>
      <c r="D17" s="330"/>
      <c r="E17" s="330"/>
      <c r="F17" s="330"/>
      <c r="G17" s="330"/>
      <c r="H17" s="330"/>
    </row>
    <row r="18" spans="2:8" ht="12.75" customHeight="1" x14ac:dyDescent="0.2">
      <c r="B18" s="331" t="s">
        <v>245</v>
      </c>
      <c r="C18" s="328" t="s">
        <v>246</v>
      </c>
      <c r="D18" s="328" t="s">
        <v>247</v>
      </c>
      <c r="E18" s="328" t="s">
        <v>248</v>
      </c>
    </row>
    <row r="19" spans="2:8" x14ac:dyDescent="0.2">
      <c r="B19" s="331"/>
      <c r="C19" s="328"/>
      <c r="D19" s="328"/>
      <c r="E19" s="328"/>
      <c r="G19" s="152"/>
    </row>
    <row r="20" spans="2:8" x14ac:dyDescent="0.2">
      <c r="B20" s="71" t="s">
        <v>249</v>
      </c>
      <c r="C20" s="155">
        <f>IFERROR(1/(PRODUT_AREA_EXTERNA*RELACAO_SERVENTES_ENCARREGADOS),0)</f>
        <v>4.2735000000000003E-5</v>
      </c>
      <c r="D20" s="156">
        <f>ENCARREGADOS!VALOR_TOTAL_ENC</f>
        <v>8636.1200000000008</v>
      </c>
      <c r="E20" s="157">
        <f>IFERROR(1/((PRODUT_AREA_EXTERNA*RELACAO_SERVENTES_ENCARREGADOS))*ENCARREGADOS!VALOR_TOTAL_ENC,0)</f>
        <v>0.37</v>
      </c>
      <c r="G20" s="152"/>
    </row>
    <row r="21" spans="2:8" x14ac:dyDescent="0.2">
      <c r="B21" s="71" t="s">
        <v>250</v>
      </c>
      <c r="C21" s="158">
        <f>IFERROR(1/PRODUT_AREA_EXTERNA,0)</f>
        <v>5.5555600000000002E-4</v>
      </c>
      <c r="D21" s="159">
        <f>VALOR_TOTAL_SERV</f>
        <v>6213.76</v>
      </c>
      <c r="E21" s="160">
        <f>IFERROR(1/(PRODUT_AREA_EXTERNA)*VALOR_TOTAL_SERV,0)</f>
        <v>3.45</v>
      </c>
      <c r="G21" s="152"/>
    </row>
    <row r="22" spans="2:8" x14ac:dyDescent="0.2">
      <c r="B22" s="161" t="s">
        <v>253</v>
      </c>
      <c r="C22" s="161"/>
      <c r="D22" s="161"/>
      <c r="E22" s="162">
        <f>E20+E21</f>
        <v>3.82</v>
      </c>
      <c r="G22" s="152"/>
    </row>
    <row r="23" spans="2:8" ht="3.75" customHeight="1" x14ac:dyDescent="0.2">
      <c r="C23" s="163"/>
      <c r="D23" s="163"/>
      <c r="E23" s="163"/>
      <c r="F23" s="166"/>
      <c r="G23" s="72"/>
      <c r="H23" s="72"/>
    </row>
    <row r="24" spans="2:8" s="165" customFormat="1" ht="12.75" customHeight="1" x14ac:dyDescent="0.2">
      <c r="B24" s="330" t="s">
        <v>254</v>
      </c>
      <c r="C24" s="340"/>
      <c r="D24" s="340"/>
      <c r="E24" s="340"/>
      <c r="F24" s="340"/>
      <c r="G24" s="340"/>
      <c r="H24" s="340"/>
    </row>
    <row r="25" spans="2:8" s="165" customFormat="1" ht="15.75" customHeight="1" x14ac:dyDescent="0.2">
      <c r="B25" s="340"/>
      <c r="C25" s="340"/>
      <c r="D25" s="340"/>
      <c r="E25" s="340"/>
      <c r="F25" s="340"/>
      <c r="G25" s="340"/>
      <c r="H25" s="340"/>
    </row>
    <row r="26" spans="2:8" ht="14.25" x14ac:dyDescent="0.2">
      <c r="B26" s="331" t="s">
        <v>245</v>
      </c>
      <c r="C26" s="328" t="s">
        <v>246</v>
      </c>
      <c r="D26" s="328" t="s">
        <v>255</v>
      </c>
      <c r="E26" s="328" t="s">
        <v>256</v>
      </c>
      <c r="F26" s="328" t="s">
        <v>257</v>
      </c>
      <c r="G26" s="328" t="s">
        <v>258</v>
      </c>
      <c r="H26" s="328" t="s">
        <v>259</v>
      </c>
    </row>
    <row r="27" spans="2:8" ht="14.25" x14ac:dyDescent="0.2">
      <c r="B27" s="331"/>
      <c r="C27" s="328"/>
      <c r="D27" s="328"/>
      <c r="E27" s="328"/>
      <c r="F27" s="328"/>
      <c r="G27" s="328"/>
      <c r="H27" s="328"/>
    </row>
    <row r="28" spans="2:8" ht="36" customHeight="1" x14ac:dyDescent="0.2">
      <c r="B28" s="331"/>
      <c r="C28" s="328"/>
      <c r="D28" s="328"/>
      <c r="E28" s="328"/>
      <c r="F28" s="328"/>
      <c r="G28" s="328"/>
      <c r="H28" s="328"/>
    </row>
    <row r="29" spans="2:8" x14ac:dyDescent="0.2">
      <c r="B29" s="71" t="s">
        <v>249</v>
      </c>
      <c r="C29" s="155">
        <f>IFERROR(1/(PRODUT_AREA_ESQ_EXTERNA*RELACAO_SERVENTES_ENCARREGADOS),0)</f>
        <v>2.5640999999999999E-4</v>
      </c>
      <c r="D29" s="167">
        <f>FREQ_ESQ_EXTERNA</f>
        <v>16</v>
      </c>
      <c r="E29" s="168">
        <f>1/((DIAS_NO_MES/DIAS_NA_SEMANA)*CARGA_HORARIA_SEMANAL)</f>
        <v>5.3030000000000004E-3</v>
      </c>
      <c r="F29" s="168">
        <f>IFERROR((1/(PRODUT_AREA_ESQ_EXTERNA*RELACAO_SERVENTES_ENCARREGADOS)*FREQ_ESQ_EXTERNA*JORNADA_MES_ESQ_EXTERNA_ENC),0)</f>
        <v>2.1999999999999999E-5</v>
      </c>
      <c r="G29" s="156">
        <f>ENCARREGADOS!VALOR_TOTAL_ENC</f>
        <v>8636.1200000000008</v>
      </c>
      <c r="H29" s="156">
        <f>COEF_KI_ESQ_EXTERNA_ENC*ENCARREGADOS!VALOR_TOTAL_ENC</f>
        <v>0.19</v>
      </c>
    </row>
    <row r="30" spans="2:8" x14ac:dyDescent="0.2">
      <c r="B30" s="71" t="s">
        <v>250</v>
      </c>
      <c r="C30" s="158">
        <f>IFERROR(1/PRODUT_AREA_ESQ_EXTERNA,0)</f>
        <v>3.333333E-3</v>
      </c>
      <c r="D30" s="169">
        <f>FREQ_ESQ_EXTERNA</f>
        <v>16</v>
      </c>
      <c r="E30" s="170">
        <f>1/((DIAS_NO_MES/DIAS_NA_SEMANA)*CARGA_HORARIA_SEMANAL)</f>
        <v>5.3030000000000004E-3</v>
      </c>
      <c r="F30" s="170">
        <f>IFERROR((1/PRODUT_AREA_ESQ_EXTERNA)*FREQ_ESQ_EXTERNA*JORNADA_MES_ESQ_EXTERNA_SERV,0)</f>
        <v>2.8299999999999999E-4</v>
      </c>
      <c r="G30" s="159">
        <f>VALOR_TOTAL_SERV</f>
        <v>6213.76</v>
      </c>
      <c r="H30" s="159">
        <f>COEF_KI_ESQ_EXTERNA_SERV*VALOR_TOTAL_SERV</f>
        <v>1.76</v>
      </c>
    </row>
    <row r="31" spans="2:8" x14ac:dyDescent="0.2">
      <c r="B31" s="329" t="s">
        <v>260</v>
      </c>
      <c r="C31" s="329"/>
      <c r="D31" s="329"/>
      <c r="E31" s="329"/>
      <c r="F31" s="329"/>
      <c r="G31" s="329"/>
      <c r="H31" s="162">
        <f>H29+H30</f>
        <v>1.95</v>
      </c>
    </row>
    <row r="32" spans="2:8" ht="3.75" customHeight="1" x14ac:dyDescent="0.2">
      <c r="C32" s="171"/>
      <c r="D32" s="171"/>
      <c r="E32" s="171"/>
      <c r="F32" s="171"/>
      <c r="G32" s="171"/>
      <c r="H32" s="171"/>
    </row>
    <row r="33" spans="2:8" s="165" customFormat="1" ht="18" customHeight="1" x14ac:dyDescent="0.2">
      <c r="B33" s="339" t="s">
        <v>261</v>
      </c>
      <c r="C33" s="339"/>
      <c r="D33" s="339"/>
      <c r="E33" s="339"/>
      <c r="F33" s="339"/>
      <c r="G33" s="339"/>
      <c r="H33" s="339"/>
    </row>
    <row r="34" spans="2:8" ht="14.25" customHeight="1" x14ac:dyDescent="0.2">
      <c r="B34" s="331" t="s">
        <v>245</v>
      </c>
      <c r="C34" s="328" t="s">
        <v>246</v>
      </c>
      <c r="D34" s="328" t="s">
        <v>255</v>
      </c>
      <c r="E34" s="328" t="s">
        <v>262</v>
      </c>
      <c r="F34" s="328" t="s">
        <v>257</v>
      </c>
      <c r="G34" s="328" t="s">
        <v>258</v>
      </c>
      <c r="H34" s="328" t="s">
        <v>259</v>
      </c>
    </row>
    <row r="35" spans="2:8" ht="12.75" customHeight="1" x14ac:dyDescent="0.2">
      <c r="B35" s="331"/>
      <c r="C35" s="328"/>
      <c r="D35" s="328"/>
      <c r="E35" s="328"/>
      <c r="F35" s="328"/>
      <c r="G35" s="328"/>
      <c r="H35" s="328"/>
    </row>
    <row r="36" spans="2:8" ht="39.75" customHeight="1" x14ac:dyDescent="0.2">
      <c r="B36" s="331"/>
      <c r="C36" s="328"/>
      <c r="D36" s="328"/>
      <c r="E36" s="328"/>
      <c r="F36" s="328"/>
      <c r="G36" s="328"/>
      <c r="H36" s="328"/>
    </row>
    <row r="37" spans="2:8" x14ac:dyDescent="0.2">
      <c r="B37" s="71" t="s">
        <v>249</v>
      </c>
      <c r="C37" s="155">
        <f>IFERROR(1/(PRODUT_AREA_FACHADA_ENVID*RELACAO_SERVENTES_ENCARREGADOS),0)</f>
        <v>5.9171600000000005E-4</v>
      </c>
      <c r="D37" s="167">
        <f>FREQ_FACHADA_ENVID</f>
        <v>8</v>
      </c>
      <c r="E37" s="168">
        <f>1/((DIAS_NO_MES/DIAS_NA_SEMANA)*CARGA_HORARIA_SEMANAL*MESES_NO_SEMESTRE)</f>
        <v>8.8400000000000002E-4</v>
      </c>
      <c r="F37" s="168">
        <f>IFERROR((1/(PRODUT_AREA_FACHADA_ENVID*RELACAO_SERVENTES_ENCARREGADOS)*FREQ_FACHADA_ENVID*JORNADA_MES_FACHADA_ENVID_ENC),0)</f>
        <v>3.9999999999999998E-6</v>
      </c>
      <c r="G37" s="156">
        <f>ENCARREGADOS!VALOR_TOTAL_ENC</f>
        <v>8636.1200000000008</v>
      </c>
      <c r="H37" s="172">
        <f>COEF_KI_FACHADA_ENVID_ENC*ENCARREGADOS!VALOR_TOTAL_ENC</f>
        <v>0.03</v>
      </c>
    </row>
    <row r="38" spans="2:8" x14ac:dyDescent="0.2">
      <c r="B38" s="71" t="s">
        <v>250</v>
      </c>
      <c r="C38" s="158">
        <f>IFERROR(1/PRODUT_AREA_FACHADA_ENVID,0)</f>
        <v>7.6923080000000001E-3</v>
      </c>
      <c r="D38" s="169">
        <f>FREQ_FACHADA_ENVID</f>
        <v>8</v>
      </c>
      <c r="E38" s="170">
        <f>1/((DIAS_NO_MES/DIAS_NA_SEMANA)*CARGA_HORARIA_SEMANAL*MESES_NO_SEMESTRE)</f>
        <v>8.8400000000000002E-4</v>
      </c>
      <c r="F38" s="170">
        <f>IFERROR((1/PRODUT_AREA_FACHADA_ENVID)*FREQ_FACHADA_ENVID*JORNADA_MES_FACHADA_ENVID_SERV,0)</f>
        <v>5.3999999999999998E-5</v>
      </c>
      <c r="G38" s="159">
        <f>VALOR_TOTAL_SERV</f>
        <v>6213.76</v>
      </c>
      <c r="H38" s="173">
        <f>COEF_KI_FACHADA_ENVID_SERV*VALOR_TOTAL_SERV</f>
        <v>0.34</v>
      </c>
    </row>
    <row r="39" spans="2:8" x14ac:dyDescent="0.2">
      <c r="B39" s="329" t="s">
        <v>263</v>
      </c>
      <c r="C39" s="329"/>
      <c r="D39" s="329"/>
      <c r="E39" s="329"/>
      <c r="F39" s="329"/>
      <c r="G39" s="329"/>
      <c r="H39" s="162">
        <f>H37+H38</f>
        <v>0.37</v>
      </c>
    </row>
    <row r="40" spans="2:8" ht="9" customHeight="1" x14ac:dyDescent="0.2">
      <c r="C40" s="163"/>
      <c r="D40" s="163"/>
      <c r="E40" s="163"/>
      <c r="F40" s="166"/>
      <c r="G40" s="152"/>
    </row>
    <row r="41" spans="2:8" s="165" customFormat="1" ht="33" customHeight="1" x14ac:dyDescent="0.2">
      <c r="B41" s="330" t="s">
        <v>264</v>
      </c>
      <c r="C41" s="330"/>
      <c r="D41" s="330"/>
      <c r="E41" s="330"/>
      <c r="F41" s="330"/>
      <c r="G41" s="330"/>
      <c r="H41" s="330"/>
    </row>
    <row r="42" spans="2:8" ht="15" customHeight="1" x14ac:dyDescent="0.2">
      <c r="B42" s="331" t="s">
        <v>245</v>
      </c>
      <c r="C42" s="328" t="s">
        <v>246</v>
      </c>
      <c r="D42" s="328" t="s">
        <v>247</v>
      </c>
      <c r="E42" s="328" t="s">
        <v>248</v>
      </c>
      <c r="G42" s="152"/>
    </row>
    <row r="43" spans="2:8" ht="14.25" x14ac:dyDescent="0.2">
      <c r="B43" s="331"/>
      <c r="C43" s="328"/>
      <c r="D43" s="328"/>
      <c r="E43" s="328"/>
    </row>
    <row r="44" spans="2:8" x14ac:dyDescent="0.2">
      <c r="B44" s="71" t="s">
        <v>249</v>
      </c>
      <c r="C44" s="155">
        <f>IFERROR(1/(PRODUT_AREA_HOSPITALAR*RELACAO_SERVENTES_ENCARREGADOS),0)</f>
        <v>0</v>
      </c>
      <c r="D44" s="156">
        <f>ENCARREGADOS!VALOR_TOTAL_ENC</f>
        <v>8636.1200000000008</v>
      </c>
      <c r="E44" s="156">
        <f>IFERROR((1/(PRODUT_AREA_HOSPITALAR*RELACAO_SERVENTES_ENCARREGADOS))*ENCARREGADOS!VALOR_TOTAL_ENC,0)</f>
        <v>0</v>
      </c>
    </row>
    <row r="45" spans="2:8" x14ac:dyDescent="0.2">
      <c r="B45" s="71" t="s">
        <v>250</v>
      </c>
      <c r="C45" s="158">
        <f>IFERROR(1/PRODUT_AREA_HOSPITALAR,0)</f>
        <v>0</v>
      </c>
      <c r="D45" s="159">
        <f>VALOR_TOTAL_SERV_HOSP</f>
        <v>9244.41</v>
      </c>
      <c r="E45" s="159">
        <f>IFERROR(1/PRODUT_AREA_HOSPITALAR*VALOR_TOTAL_SERV_HOSP,0)</f>
        <v>0</v>
      </c>
      <c r="G45" s="72"/>
      <c r="H45" s="72"/>
    </row>
    <row r="46" spans="2:8" x14ac:dyDescent="0.2">
      <c r="B46" s="161" t="s">
        <v>265</v>
      </c>
      <c r="C46" s="161"/>
      <c r="D46" s="161"/>
      <c r="E46" s="162">
        <f>E44+E45</f>
        <v>0</v>
      </c>
      <c r="G46" s="72"/>
      <c r="H46" s="72"/>
    </row>
    <row r="47" spans="2:8" ht="12.75" customHeight="1" x14ac:dyDescent="0.2">
      <c r="B47" s="174"/>
      <c r="C47" s="175"/>
      <c r="D47" s="175"/>
      <c r="E47" s="175"/>
      <c r="F47" s="175"/>
      <c r="G47" s="175"/>
      <c r="H47" s="72"/>
    </row>
    <row r="48" spans="2:8" s="165" customFormat="1" ht="13.5" customHeight="1" x14ac:dyDescent="0.2">
      <c r="B48" s="332" t="s">
        <v>266</v>
      </c>
      <c r="C48" s="332"/>
      <c r="D48" s="332"/>
      <c r="E48" s="332"/>
      <c r="F48" s="176"/>
      <c r="G48" s="74"/>
    </row>
    <row r="49" spans="2:8" ht="13.5" customHeight="1" x14ac:dyDescent="0.2">
      <c r="B49" s="177"/>
      <c r="C49" s="177"/>
      <c r="D49" s="177"/>
      <c r="E49" s="177"/>
      <c r="F49" s="175"/>
      <c r="G49" s="72"/>
      <c r="H49" s="151"/>
    </row>
    <row r="50" spans="2:8" ht="14.25" customHeight="1" x14ac:dyDescent="0.2">
      <c r="B50" s="328" t="s">
        <v>267</v>
      </c>
      <c r="C50" s="328" t="s">
        <v>268</v>
      </c>
      <c r="D50" s="333" t="s">
        <v>269</v>
      </c>
      <c r="E50" s="334"/>
      <c r="F50" s="335"/>
      <c r="G50" s="328" t="s">
        <v>270</v>
      </c>
      <c r="H50" s="151"/>
    </row>
    <row r="51" spans="2:8" ht="18" customHeight="1" x14ac:dyDescent="0.2">
      <c r="B51" s="328"/>
      <c r="C51" s="328"/>
      <c r="D51" s="336"/>
      <c r="E51" s="337"/>
      <c r="F51" s="338"/>
      <c r="G51" s="328"/>
      <c r="H51" s="151"/>
    </row>
    <row r="52" spans="2:8" ht="33" x14ac:dyDescent="0.2">
      <c r="B52" s="328"/>
      <c r="C52" s="116" t="s">
        <v>26</v>
      </c>
      <c r="D52" s="116" t="s">
        <v>249</v>
      </c>
      <c r="E52" s="116" t="s">
        <v>250</v>
      </c>
      <c r="F52" s="116" t="s">
        <v>271</v>
      </c>
      <c r="G52" s="116" t="s">
        <v>272</v>
      </c>
      <c r="H52" s="151"/>
    </row>
    <row r="53" spans="2:8" x14ac:dyDescent="0.2">
      <c r="B53" s="71" t="s">
        <v>28</v>
      </c>
      <c r="C53" s="75">
        <f>AREA_INTERNA_TOTAL</f>
        <v>9600</v>
      </c>
      <c r="D53" s="76">
        <f>CUSTO_M2_AREA_INTERNA_ENC</f>
        <v>0.83</v>
      </c>
      <c r="E53" s="76">
        <f>CUSTO_M2_AREA_INTERNA_SERV</f>
        <v>7.77</v>
      </c>
      <c r="F53" s="76">
        <f>CUSTO_M2_AREA_INTERNA</f>
        <v>8.6</v>
      </c>
      <c r="G53" s="172">
        <f>AREA_INTERNA_TOTAL*CUSTO_M2_AREA_INTERNA</f>
        <v>82560</v>
      </c>
      <c r="H53" s="151"/>
    </row>
    <row r="54" spans="2:8" x14ac:dyDescent="0.2">
      <c r="B54" s="71" t="s">
        <v>30</v>
      </c>
      <c r="C54" s="77">
        <f>AREA_EXTERNA_TOTAL</f>
        <v>3050</v>
      </c>
      <c r="D54" s="29">
        <f>CUSTO_M2_AREA_EXTERNA_ENC</f>
        <v>0.37</v>
      </c>
      <c r="E54" s="29">
        <f>CUSTO_M2_AREA_EXTERNA_SERV</f>
        <v>3.45</v>
      </c>
      <c r="F54" s="29">
        <f>CUSTO_M2_AREA_EXTERNA</f>
        <v>3.82</v>
      </c>
      <c r="G54" s="173">
        <f>AREA_EXTERNA_TOTAL*CUSTO_M2_AREA_EXTERNA</f>
        <v>11651</v>
      </c>
      <c r="H54" s="151"/>
    </row>
    <row r="55" spans="2:8" x14ac:dyDescent="0.2">
      <c r="B55" s="71" t="s">
        <v>33</v>
      </c>
      <c r="C55" s="75">
        <f>AREA_ESQ_EXTERNA_TOTAL</f>
        <v>1500</v>
      </c>
      <c r="D55" s="76">
        <f>CUSTO_M2_ESQ_EXTERNA_ENC</f>
        <v>0.19</v>
      </c>
      <c r="E55" s="76">
        <f>CUSTO_M2_ESQ_EXTERNA_SERV</f>
        <v>1.76</v>
      </c>
      <c r="F55" s="76">
        <f>CUSTO_M2_ESQ_EXTERNA</f>
        <v>1.95</v>
      </c>
      <c r="G55" s="172">
        <f>AREA_ESQ_EXTERNA_TOTAL*CUSTO_M2_ESQ_EXTERNA</f>
        <v>2925</v>
      </c>
      <c r="H55" s="151"/>
    </row>
    <row r="56" spans="2:8" x14ac:dyDescent="0.2">
      <c r="B56" s="71" t="s">
        <v>37</v>
      </c>
      <c r="C56" s="77">
        <f>AREA_FACHADA_ENVID_TOTAL</f>
        <v>1500</v>
      </c>
      <c r="D56" s="29">
        <f>CUSTO_M2_FACHADA_ENVID_ENC</f>
        <v>0.03</v>
      </c>
      <c r="E56" s="29">
        <f>CUSTO_M2_FACHADA_ENVID_SERV</f>
        <v>0.34</v>
      </c>
      <c r="F56" s="29">
        <f>CUSTO_M2_FACHADA_ENVID</f>
        <v>0.37</v>
      </c>
      <c r="G56" s="173">
        <f>AREA_FACHADA_ENVID_TOTAL*CUSTO_M2_FACHADA_ENVID</f>
        <v>555</v>
      </c>
      <c r="H56" s="151"/>
    </row>
    <row r="57" spans="2:8" x14ac:dyDescent="0.2">
      <c r="B57" s="71" t="s">
        <v>41</v>
      </c>
      <c r="C57" s="75">
        <f>AREA_MED_HOSP_TOTAL</f>
        <v>0</v>
      </c>
      <c r="D57" s="76">
        <f>CUSTO_M2_AREA_HOSPITALAR_ENC</f>
        <v>0</v>
      </c>
      <c r="E57" s="76">
        <f>CUSTO_M2_AREA_HOSPITALAR_SERV</f>
        <v>0</v>
      </c>
      <c r="F57" s="76">
        <f>CUSTO_M2_AREA_MED_HOSP</f>
        <v>0</v>
      </c>
      <c r="G57" s="172">
        <f>AREA_MED_HOSP_TOTAL*CUSTO_M2_AREA_MED_HOSP</f>
        <v>0</v>
      </c>
      <c r="H57" s="151"/>
    </row>
    <row r="58" spans="2:8" x14ac:dyDescent="0.2">
      <c r="B58" s="325" t="s">
        <v>266</v>
      </c>
      <c r="C58" s="326"/>
      <c r="D58" s="326"/>
      <c r="E58" s="326"/>
      <c r="F58" s="327"/>
      <c r="G58" s="178">
        <f>SUM(G53:G57)</f>
        <v>97691</v>
      </c>
      <c r="H58" s="151"/>
    </row>
    <row r="60" spans="2:8" s="165" customFormat="1" ht="13.5" customHeight="1" x14ac:dyDescent="0.2"/>
    <row r="61" spans="2:8" ht="13.5" customHeight="1" x14ac:dyDescent="0.2">
      <c r="H61" s="151"/>
    </row>
    <row r="62" spans="2:8" ht="14.25" customHeight="1" x14ac:dyDescent="0.2">
      <c r="H62" s="151"/>
    </row>
    <row r="63" spans="2:8" x14ac:dyDescent="0.2">
      <c r="H63" s="151"/>
    </row>
    <row r="64" spans="2:8" x14ac:dyDescent="0.2">
      <c r="H64" s="151"/>
    </row>
    <row r="65" spans="2:7" s="151" customFormat="1" x14ac:dyDescent="0.2">
      <c r="B65" s="152"/>
      <c r="C65" s="152"/>
      <c r="D65" s="152"/>
      <c r="E65" s="152"/>
      <c r="F65" s="73"/>
      <c r="G65" s="73"/>
    </row>
    <row r="66" spans="2:7" s="151" customFormat="1" ht="36" customHeight="1" x14ac:dyDescent="0.2">
      <c r="B66" s="152"/>
      <c r="C66" s="152"/>
      <c r="D66" s="152"/>
      <c r="E66" s="152"/>
      <c r="F66" s="73"/>
      <c r="G66" s="73"/>
    </row>
    <row r="67" spans="2:7" s="151" customFormat="1" x14ac:dyDescent="0.2">
      <c r="B67" s="152"/>
      <c r="C67" s="152"/>
      <c r="D67" s="152"/>
      <c r="E67" s="152"/>
      <c r="F67" s="73"/>
      <c r="G67" s="73"/>
    </row>
    <row r="68" spans="2:7" s="151" customFormat="1" ht="49.5" customHeight="1" x14ac:dyDescent="0.2">
      <c r="B68" s="152"/>
      <c r="C68" s="152"/>
      <c r="D68" s="152"/>
      <c r="E68" s="152"/>
      <c r="F68" s="73"/>
      <c r="G68" s="73"/>
    </row>
  </sheetData>
  <sheetProtection sheet="1" objects="1" scenarios="1"/>
  <mergeCells count="44">
    <mergeCell ref="B16:H17"/>
    <mergeCell ref="B1:H1"/>
    <mergeCell ref="B4:H4"/>
    <mergeCell ref="B5:H5"/>
    <mergeCell ref="B7:H7"/>
    <mergeCell ref="B2:F2"/>
    <mergeCell ref="B8:H9"/>
    <mergeCell ref="B10:B11"/>
    <mergeCell ref="C10:C11"/>
    <mergeCell ref="D10:D11"/>
    <mergeCell ref="E10:E11"/>
    <mergeCell ref="B18:B19"/>
    <mergeCell ref="C18:C19"/>
    <mergeCell ref="D18:D19"/>
    <mergeCell ref="E18:E19"/>
    <mergeCell ref="B24:H25"/>
    <mergeCell ref="G26:G28"/>
    <mergeCell ref="H26:H28"/>
    <mergeCell ref="B31:G31"/>
    <mergeCell ref="B33:H33"/>
    <mergeCell ref="B34:B36"/>
    <mergeCell ref="C34:C36"/>
    <mergeCell ref="D34:D36"/>
    <mergeCell ref="E34:E36"/>
    <mergeCell ref="F34:F36"/>
    <mergeCell ref="G34:G36"/>
    <mergeCell ref="B26:B28"/>
    <mergeCell ref="C26:C28"/>
    <mergeCell ref="D26:D28"/>
    <mergeCell ref="E26:E28"/>
    <mergeCell ref="F26:F28"/>
    <mergeCell ref="B58:F58"/>
    <mergeCell ref="H34:H36"/>
    <mergeCell ref="B39:G39"/>
    <mergeCell ref="B41:H41"/>
    <mergeCell ref="B42:B43"/>
    <mergeCell ref="C42:C43"/>
    <mergeCell ref="D42:D43"/>
    <mergeCell ref="E42:E43"/>
    <mergeCell ref="B48:E48"/>
    <mergeCell ref="B50:B52"/>
    <mergeCell ref="C50:C51"/>
    <mergeCell ref="G50:G51"/>
    <mergeCell ref="D50:F51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41"/>
  <sheetViews>
    <sheetView tabSelected="1" topLeftCell="A8" workbookViewId="0">
      <selection activeCell="G10" sqref="G10"/>
    </sheetView>
  </sheetViews>
  <sheetFormatPr defaultRowHeight="14.25" x14ac:dyDescent="0.25"/>
  <cols>
    <col min="1" max="1" width="1.7109375" style="179" customWidth="1"/>
    <col min="2" max="2" width="6" style="179" customWidth="1"/>
    <col min="3" max="3" width="33.85546875" style="179" customWidth="1"/>
    <col min="4" max="4" width="20.85546875" style="179" customWidth="1"/>
    <col min="5" max="5" width="19.28515625" style="179" customWidth="1"/>
    <col min="6" max="6" width="18.5703125" style="179" customWidth="1"/>
    <col min="7" max="7" width="17.7109375" style="179" customWidth="1"/>
    <col min="8" max="8" width="21.7109375" style="179" customWidth="1"/>
    <col min="9" max="16384" width="9.140625" style="179"/>
  </cols>
  <sheetData>
    <row r="1" spans="2:7" s="6" customFormat="1" ht="20.25" customHeight="1" x14ac:dyDescent="0.35">
      <c r="B1" s="318" t="str">
        <f>RAMO</f>
        <v>RAMO: ESCOLA SUPERIOR DO MINISTÉRIO PÚBLICO DA UNIÃO</v>
      </c>
      <c r="C1" s="319"/>
      <c r="D1" s="319"/>
      <c r="E1" s="319"/>
      <c r="F1" s="320"/>
    </row>
    <row r="2" spans="2:7" s="6" customFormat="1" ht="20.25" x14ac:dyDescent="0.35">
      <c r="B2" s="321" t="str">
        <f>UG</f>
        <v>UNIDADE GESTORA (SIGLA): ESMPU</v>
      </c>
      <c r="C2" s="322"/>
      <c r="D2" s="323"/>
      <c r="E2" s="181" t="s">
        <v>3</v>
      </c>
      <c r="F2" s="182">
        <f>IF(DATA_DO_ORCAMENTO_ESTIMATIVO="","",DATA_DO_ORCAMENTO_ESTIMATIVO)</f>
        <v>45687</v>
      </c>
    </row>
    <row r="3" spans="2:7" s="6" customFormat="1" ht="16.5" customHeight="1" x14ac:dyDescent="0.3">
      <c r="B3" s="125"/>
      <c r="C3" s="125"/>
      <c r="D3" s="125"/>
      <c r="E3" s="125"/>
      <c r="F3" s="125"/>
    </row>
    <row r="4" spans="2:7" s="6" customFormat="1" ht="20.25" x14ac:dyDescent="0.3">
      <c r="B4" s="357" t="s">
        <v>273</v>
      </c>
      <c r="C4" s="357"/>
      <c r="D4" s="357"/>
      <c r="E4" s="357"/>
      <c r="F4" s="357"/>
      <c r="G4" s="357"/>
    </row>
    <row r="5" spans="2:7" s="6" customFormat="1" ht="66" x14ac:dyDescent="0.3">
      <c r="B5" s="1" t="s">
        <v>274</v>
      </c>
      <c r="C5" s="95" t="s">
        <v>51</v>
      </c>
      <c r="D5" s="2" t="s">
        <v>275</v>
      </c>
      <c r="E5" s="2" t="s">
        <v>276</v>
      </c>
      <c r="F5" s="2" t="s">
        <v>277</v>
      </c>
      <c r="G5" s="116" t="s">
        <v>278</v>
      </c>
    </row>
    <row r="6" spans="2:7" s="6" customFormat="1" ht="33" x14ac:dyDescent="0.3">
      <c r="B6" s="1" t="s">
        <v>279</v>
      </c>
      <c r="C6" s="96" t="str">
        <f>ENCARREGADO_DE_LIMPEZA</f>
        <v>Encarregado de Limpeza</v>
      </c>
      <c r="D6" s="97" t="str">
        <f>IF(LOCAL_DE_EXECUCAO="","",LOCAL_DE_EXECUCAO)</f>
        <v>EDIFÍCIO SEDE DA ESMPU</v>
      </c>
      <c r="E6" s="97">
        <f>IF(QTDE_DE_ENC&lt;1,"",QTDE_DE_ENC)</f>
        <v>1</v>
      </c>
      <c r="F6" s="98">
        <f>IF(QTDE_DE_ENC&lt;1,"",ENCARREGADOS!VALOR_TOTAL_ENC)</f>
        <v>8636.1200000000008</v>
      </c>
      <c r="G6" s="86">
        <f>IF(QTDE_DE_ENC&lt;1,"",QTDE_DE_ENC*ENCARREGADOS!VALOR_TOTAL_ENC)</f>
        <v>8636.1200000000008</v>
      </c>
    </row>
    <row r="7" spans="2:7" s="6" customFormat="1" ht="33" x14ac:dyDescent="0.3">
      <c r="B7" s="2" t="s">
        <v>280</v>
      </c>
      <c r="C7" s="99" t="str">
        <f>SERVENTE</f>
        <v>Servente</v>
      </c>
      <c r="D7" s="100" t="str">
        <f>IF(LOCAL_DE_EXECUCAO="","",LOCAL_DE_EXECUCAO)</f>
        <v>EDIFÍCIO SEDE DA ESMPU</v>
      </c>
      <c r="E7" s="100">
        <f>IF(QTDE_DE_SERV="","",QTDE_DE_SERV)</f>
        <v>12</v>
      </c>
      <c r="F7" s="101">
        <f>IF(QTDE_DE_SERV="","",VALOR_TOTAL_SERV)</f>
        <v>6213.76</v>
      </c>
      <c r="G7" s="3">
        <f>IF(QTDE_DE_SERV&lt;1,"",QTDE_DE_SERV*VALOR_TOTAL_SERV)</f>
        <v>74565.119999999995</v>
      </c>
    </row>
    <row r="8" spans="2:7" s="6" customFormat="1" ht="33" x14ac:dyDescent="0.3">
      <c r="B8" s="2" t="s">
        <v>281</v>
      </c>
      <c r="C8" s="96" t="str">
        <f>SERVENTE_AREA_HOSPITALAR</f>
        <v>Jardineiro</v>
      </c>
      <c r="D8" s="97" t="str">
        <f>IF(LOCAL_DE_EXECUCAO="","",LOCAL_DE_EXECUCAO)</f>
        <v>EDIFÍCIO SEDE DA ESMPU</v>
      </c>
      <c r="E8" s="97">
        <f>IF(QTDE_DE_SERV_HOSP&lt;1,"",QTDE_DE_SERV_HOSP)</f>
        <v>1</v>
      </c>
      <c r="F8" s="98">
        <f>IF(QTDE_DE_SERV_HOSP&lt;1,"",VALOR_TOTAL_SERV_HOSP)</f>
        <v>9244.41</v>
      </c>
      <c r="G8" s="86">
        <f>IF(QTDE_DE_SERV_HOSP&lt;1,"",QTDE_DE_SERV_HOSP*VALOR_TOTAL_SERV_HOSP)</f>
        <v>9244.41</v>
      </c>
    </row>
    <row r="9" spans="2:7" s="6" customFormat="1" ht="16.5" x14ac:dyDescent="0.3">
      <c r="B9" s="226" t="s">
        <v>282</v>
      </c>
      <c r="C9" s="227"/>
      <c r="D9" s="228"/>
      <c r="E9" s="102">
        <f>IF(QTDE_DE_SERV="","",SUM(E6:E8))</f>
        <v>14</v>
      </c>
      <c r="F9" s="103"/>
      <c r="G9" s="104">
        <f>IF(QTDE_DE_SERV&lt;1,"",SUM(G6:G8))</f>
        <v>92445.65</v>
      </c>
    </row>
    <row r="10" spans="2:7" s="6" customFormat="1" ht="16.5" x14ac:dyDescent="0.3">
      <c r="B10" s="226" t="s">
        <v>283</v>
      </c>
      <c r="C10" s="227"/>
      <c r="D10" s="228"/>
      <c r="E10" s="102"/>
      <c r="F10" s="103"/>
      <c r="G10" s="208">
        <f>E9</f>
        <v>14</v>
      </c>
    </row>
    <row r="11" spans="2:7" s="6" customFormat="1" ht="16.5" x14ac:dyDescent="0.3">
      <c r="B11" s="226" t="s">
        <v>284</v>
      </c>
      <c r="C11" s="227"/>
      <c r="D11" s="228"/>
      <c r="E11" s="102"/>
      <c r="F11" s="103"/>
      <c r="G11" s="104">
        <v>200</v>
      </c>
    </row>
    <row r="12" spans="2:7" s="6" customFormat="1" ht="16.5" x14ac:dyDescent="0.3">
      <c r="B12" s="226" t="s">
        <v>285</v>
      </c>
      <c r="C12" s="227"/>
      <c r="D12" s="228"/>
      <c r="E12" s="102"/>
      <c r="F12" s="103"/>
      <c r="G12" s="104">
        <v>13.64</v>
      </c>
    </row>
    <row r="13" spans="2:7" s="6" customFormat="1" ht="16.5" x14ac:dyDescent="0.3">
      <c r="B13" s="226" t="s">
        <v>286</v>
      </c>
      <c r="C13" s="227"/>
      <c r="D13" s="228"/>
      <c r="E13" s="102"/>
      <c r="F13" s="103"/>
      <c r="G13" s="104">
        <f>G9+(G10*(G11+G12))</f>
        <v>95436.61</v>
      </c>
    </row>
    <row r="14" spans="2:7" s="6" customFormat="1" ht="16.5" customHeight="1" x14ac:dyDescent="0.3">
      <c r="B14" s="226" t="s">
        <v>287</v>
      </c>
      <c r="C14" s="227"/>
      <c r="D14" s="228"/>
      <c r="E14" s="102"/>
      <c r="F14" s="103"/>
      <c r="G14" s="104">
        <f>G13*12</f>
        <v>1145239.32</v>
      </c>
    </row>
    <row r="16" spans="2:7" s="6" customFormat="1" ht="20.25" x14ac:dyDescent="0.3">
      <c r="B16" s="105" t="s">
        <v>288</v>
      </c>
      <c r="C16" s="105"/>
      <c r="D16" s="105"/>
      <c r="E16" s="105"/>
      <c r="F16" s="105"/>
    </row>
    <row r="17" spans="2:8" ht="49.5" customHeight="1" x14ac:dyDescent="0.25">
      <c r="B17" s="358" t="s">
        <v>289</v>
      </c>
      <c r="C17" s="359"/>
      <c r="D17" s="2" t="str">
        <f>ENCARREGADO_DE_LIMPEZA</f>
        <v>Encarregado de Limpeza</v>
      </c>
      <c r="E17" s="2" t="str">
        <f>SERVENTE</f>
        <v>Servente</v>
      </c>
      <c r="F17" s="116" t="str">
        <f>SERVENTE_AREA_HOSPITALAR</f>
        <v>Jardineiro</v>
      </c>
    </row>
    <row r="18" spans="2:8" ht="16.5" x14ac:dyDescent="0.3">
      <c r="B18" s="360" t="s">
        <v>290</v>
      </c>
      <c r="C18" s="361"/>
      <c r="D18" s="106">
        <f>IF(QTDE_DE_ENC&lt;1,"",ENCARREGADOS!SUBMOD_2_1_DEC_TERC_ADIC_FERIAS_ENC+ENCARREGADOS!SUBMOD_2_2_GPS_FGTS_ENC+ENCARREGADOS!MOD_3_PROVISAO_RESCISAO_ENC+ENCARREGADOS!SUBMOD_4_1_SUBSTITUTO_ENC)</f>
        <v>2508.13</v>
      </c>
      <c r="E18" s="106">
        <f>IF(QTDE_DE_SERV="","",SERVENTES!SUBMOD_2_1_DEC_TERC_ADIC_FERIAS_SERV+SERVENTES!SUBMOD_2_2_GPS_FGTS_SERV+SERVENTES!MOD_3_PROVISAO_RESCISAO_SERV+SERVENTES!SUBMOD_4_1_SUBSTITUTO_SERV)</f>
        <v>1364.56</v>
      </c>
      <c r="F18" s="106">
        <f>IF(QTDE_DE_SERV_HOSP&lt;1,"",JARDINEIRO!SUBMOD_2_1_DEC_TERC_ADIC_FERIAS_SERV_HOSP+JARDINEIRO!SUBMOD_2_2_GPS_FGTS_SERV_HOSP+JARDINEIRO!MOD_3_PROVISAO_RESCISAO_SERV_HOSP+JARDINEIRO!F67)</f>
        <v>1943.88</v>
      </c>
      <c r="G18" s="6"/>
    </row>
    <row r="19" spans="2:8" ht="16.5" x14ac:dyDescent="0.3">
      <c r="B19" s="214" t="s">
        <v>291</v>
      </c>
      <c r="C19" s="216"/>
      <c r="D19" s="107">
        <f>IF(QTDE_DE_ENC&lt;1,"",ENCARREGADOS!MOD_1_REMUNERACAO_ENC)</f>
        <v>3383.5</v>
      </c>
      <c r="E19" s="107">
        <f>IF(QTDE_DE_SERV="","",SERVENTES!MOD_1_REMUNERACAO_SERV)</f>
        <v>1743.69</v>
      </c>
      <c r="F19" s="107">
        <f>IF(QTDE_DE_SERV_HOSP&lt;1,"",JARDINEIRO!MOD_1_REMUNERACAO_SERV_HOSP)</f>
        <v>2574.37</v>
      </c>
      <c r="G19" s="6"/>
    </row>
    <row r="20" spans="2:8" ht="16.5" x14ac:dyDescent="0.25">
      <c r="B20" s="355" t="s">
        <v>292</v>
      </c>
      <c r="C20" s="356"/>
      <c r="D20" s="94">
        <f>IF(QTDE_DE_ENC&lt;1,"",IFERROR(D18/D19,0))</f>
        <v>0.74129999999999996</v>
      </c>
      <c r="E20" s="94">
        <f>IF(QTDE_DE_SERV="","",IFERROR(E18/E19,0))</f>
        <v>0.78259999999999996</v>
      </c>
      <c r="F20" s="94">
        <f>IF(QTDE_DE_SERV_HOSP&lt;1,"",IFERROR(F18/F19,0))</f>
        <v>0.75509999999999999</v>
      </c>
    </row>
    <row r="21" spans="2:8" x14ac:dyDescent="0.25">
      <c r="B21" s="180" t="s">
        <v>293</v>
      </c>
      <c r="C21" s="180"/>
      <c r="D21" s="180"/>
    </row>
    <row r="22" spans="2:8" s="6" customFormat="1" ht="16.5" customHeight="1" x14ac:dyDescent="0.3">
      <c r="B22" s="351" t="s">
        <v>294</v>
      </c>
      <c r="C22" s="351"/>
      <c r="D22" s="351"/>
      <c r="E22" s="351"/>
      <c r="F22" s="351"/>
      <c r="G22" s="351"/>
      <c r="H22" s="351"/>
    </row>
    <row r="23" spans="2:8" ht="14.25" customHeight="1" x14ac:dyDescent="0.25">
      <c r="B23" s="352"/>
      <c r="C23" s="352"/>
      <c r="D23" s="352"/>
      <c r="E23" s="352"/>
      <c r="F23" s="352"/>
      <c r="G23" s="352"/>
      <c r="H23" s="352"/>
    </row>
    <row r="24" spans="2:8" s="180" customFormat="1" ht="16.5" customHeight="1" x14ac:dyDescent="0.25">
      <c r="B24" s="328" t="s">
        <v>267</v>
      </c>
      <c r="C24" s="328"/>
      <c r="D24" s="328" t="s">
        <v>295</v>
      </c>
      <c r="E24" s="328" t="s">
        <v>296</v>
      </c>
      <c r="F24" s="328"/>
      <c r="G24" s="328" t="s">
        <v>297</v>
      </c>
      <c r="H24" s="353"/>
    </row>
    <row r="25" spans="2:8" x14ac:dyDescent="0.25">
      <c r="B25" s="328"/>
      <c r="C25" s="328"/>
      <c r="D25" s="328"/>
      <c r="E25" s="328"/>
      <c r="F25" s="328"/>
      <c r="G25" s="328"/>
      <c r="H25" s="353"/>
    </row>
    <row r="26" spans="2:8" ht="16.5" customHeight="1" x14ac:dyDescent="0.25">
      <c r="B26" s="328"/>
      <c r="C26" s="328"/>
      <c r="D26" s="328"/>
      <c r="E26" s="353" t="str">
        <f>"PORTARIA Nº "&amp; PORTARIA_LIMITES</f>
        <v xml:space="preserve">PORTARIA Nº </v>
      </c>
      <c r="F26" s="354"/>
      <c r="G26" s="353" t="str">
        <f>"PORTARIA Nº "&amp; PORTARIA_LIMITES</f>
        <v xml:space="preserve">PORTARIA Nº </v>
      </c>
      <c r="H26" s="354"/>
    </row>
    <row r="27" spans="2:8" ht="33" customHeight="1" x14ac:dyDescent="0.25">
      <c r="B27" s="350" t="s">
        <v>28</v>
      </c>
      <c r="C27" s="350"/>
      <c r="D27" s="76">
        <f>IF(CUSTO_M2_AREA_INTERNA&gt;0,CUSTO_M2_AREA_INTERNA,"")</f>
        <v>8.6</v>
      </c>
      <c r="E27" s="75">
        <f>IF(D28="","",IF(PRODUT_AREA_INTERNA=600,(SUMIF('LIMITES-SEGES-PORT-7-2015'!$A:$A,UF,'LIMITES-SEGES-PORT-7-2015'!C:C)),SUMIF('LIMITES-SEGES-PORT-213-2017'!$A:$A,UF,'LIMITES-SEGES-PORT-213-2017'!C:C)))</f>
        <v>5.6</v>
      </c>
      <c r="F27" s="94" t="str">
        <f>IF(D27="","Não se aplica",IF(AND(E27&lt;=D27,D27&gt;0),"SIM, está em conformidade.","NÃO, é inferior."))</f>
        <v>SIM, está em conformidade.</v>
      </c>
      <c r="G27" s="75">
        <f>IF(D27="","",IF(PRODUT_AREA_INTERNA=600,SUMIF('LIMITES-SEGES-PORT-7-2015'!$A:$A,UF,'LIMITES-SEGES-PORT-7-2015'!D:D),SUMIF('LIMITES-SEGES-PORT-213-2017'!$A:$A,UF,'LIMITES-SEGES-PORT-213-2017'!D:D)))</f>
        <v>6.73</v>
      </c>
      <c r="H27" s="108" t="str">
        <f>IF(D27="","Não se aplica",IF(D27&lt;=G27,"SIM, está em conformidade.","NÃO, é superior."))</f>
        <v>NÃO, é superior.</v>
      </c>
    </row>
    <row r="28" spans="2:8" ht="33" customHeight="1" x14ac:dyDescent="0.25">
      <c r="B28" s="350" t="s">
        <v>30</v>
      </c>
      <c r="C28" s="350"/>
      <c r="D28" s="29">
        <f>IF(CUSTO_M2_AREA_EXTERNA&gt;0,CUSTO_M2_AREA_EXTERNA,"")</f>
        <v>3.82</v>
      </c>
      <c r="E28" s="77">
        <f>IF(D28="","",IF(PRODUT_AREA_EXTERNA=1200,SUMIF('LIMITES-SEGES-PORT-7-2015'!$A:$A,UF,'LIMITES-SEGES-PORT-7-2015'!E:E),SUMIF('LIMITES-SEGES-PORT-213-2017'!$A:$A,UF,'LIMITES-SEGES-PORT-213-2017'!G:G)))</f>
        <v>2.4900000000000002</v>
      </c>
      <c r="F28" s="94" t="str">
        <f>IF(D28="","Não se aplica",IF(AND(E28&lt;=D28,D28&gt;0),"SIM, está em conformidade.", "NÃO, é inferior."))</f>
        <v>SIM, está em conformidade.</v>
      </c>
      <c r="G28" s="77">
        <f>IF(D28="","",IF(PRODUT_AREA_EXTERNA=1200,SUMIF('LIMITES-SEGES-PORT-7-2015'!$A:$A,UF,'LIMITES-SEGES-PORT-7-2015'!F:F),SUMIF('LIMITES-SEGES-PORT-213-2017'!$A:$A,UF,'LIMITES-SEGES-PORT-213-2017'!H:H)))</f>
        <v>2.99</v>
      </c>
      <c r="H28" s="108" t="str">
        <f>IF(D28="","Não se aplica",IF(D28&lt;=G28,"SIM, está em conformidade.","NÃO, é superior."))</f>
        <v>NÃO, é superior.</v>
      </c>
    </row>
    <row r="29" spans="2:8" ht="32.25" customHeight="1" x14ac:dyDescent="0.25">
      <c r="B29" s="350" t="s">
        <v>33</v>
      </c>
      <c r="C29" s="350"/>
      <c r="D29" s="76">
        <f>IF(CUSTO_M2_ESQ_EXTERNA&gt;0,CUSTO_M2_ESQ_EXTERNA,"")</f>
        <v>1.95</v>
      </c>
      <c r="E29" s="75">
        <f>IF(D29="","",IF(PRODUT_AREA_ESQ_EXTERNA=220,SUMIF('LIMITES-SEGES-PORT-7-2015'!$A:$A,UF,'LIMITES-SEGES-PORT-7-2015'!G:G),SUMIF('LIMITES-SEGES-PORT-213-2017'!$A:$A,UF,'LIMITES-SEGES-PORT-213-2017'!K:K)))</f>
        <v>1.26</v>
      </c>
      <c r="F29" s="94" t="str">
        <f>IF(D29="","Não se aplica",IF(E29&lt;=D29,"SIM, está em conformidade.","NÃO, é inferior."))</f>
        <v>SIM, está em conformidade.</v>
      </c>
      <c r="G29" s="75">
        <f>IF(D29="","",IF(PRODUT_AREA_ESQ_EXTERNA=220,SUMIF('LIMITES-SEGES-PORT-7-2015'!$A:$A,UF,'LIMITES-SEGES-PORT-7-2015'!H:H),SUMIF('LIMITES-SEGES-PORT-213-2017'!$A:$A,UF,'LIMITES-SEGES-PORT-213-2017'!L:L)))</f>
        <v>1.52</v>
      </c>
      <c r="H29" s="108" t="str">
        <f>IF(D29="","Não se aplica",IF(D29&lt;=G29,"SIM, está em conformidade.","NÃO, é superior."))</f>
        <v>NÃO, é superior.</v>
      </c>
    </row>
    <row r="30" spans="2:8" ht="32.25" customHeight="1" x14ac:dyDescent="0.25">
      <c r="B30" s="350" t="s">
        <v>37</v>
      </c>
      <c r="C30" s="350"/>
      <c r="D30" s="29">
        <f>IF(CUSTO_M2_FACHADA_ENVID&gt;0,CUSTO_M2_FACHADA_ENVID,"")</f>
        <v>0.37</v>
      </c>
      <c r="E30" s="77">
        <f>IF(D30="","",IF(PRODUT_AREA_FACHADA_ENVID=110,SUMIF('LIMITES-SEGES-PORT-7-2015'!$A:$A,UF,'LIMITES-SEGES-PORT-7-2015'!I:I),SUMIF('LIMITES-SEGES-PORT-213-2017'!$A:$A,UF,'LIMITES-SEGES-PORT-213-2017'!O:O)))</f>
        <v>0.4</v>
      </c>
      <c r="F30" s="94" t="str">
        <f>IF(D30="","Não se aplica",IF(E30&lt;=D30,"SIM, está em conformidade.","NÃO, é inferior."))</f>
        <v>NÃO, é inferior.</v>
      </c>
      <c r="G30" s="77">
        <f>IF(D30="","",IF(PRODUT_AREA_FACHADA_ENVID=110,SUMIF('LIMITES-SEGES-PORT-7-2015'!$A:$A,UF,'LIMITES-SEGES-PORT-7-2015'!J:J),SUMIF('LIMITES-SEGES-PORT-213-2017'!$A:$A,UF,'LIMITES-SEGES-PORT-213-2017'!P:P)))</f>
        <v>0.48</v>
      </c>
      <c r="H30" s="108" t="str">
        <f>IF(D30="","Não se aplica",IF(D30&lt;=G30,"SIM, está em conformidade.","NÃO, é superior."))</f>
        <v>SIM, está em conformidade.</v>
      </c>
    </row>
    <row r="32" spans="2:8" s="6" customFormat="1" ht="16.5" customHeight="1" x14ac:dyDescent="0.3">
      <c r="B32" s="351" t="s">
        <v>298</v>
      </c>
      <c r="C32" s="351"/>
      <c r="D32" s="351"/>
      <c r="E32" s="351"/>
      <c r="F32" s="351"/>
      <c r="G32" s="351"/>
      <c r="H32" s="351"/>
    </row>
    <row r="33" spans="2:8" ht="14.25" customHeight="1" x14ac:dyDescent="0.25">
      <c r="B33" s="351"/>
      <c r="C33" s="351"/>
      <c r="D33" s="351"/>
      <c r="E33" s="351"/>
      <c r="F33" s="351"/>
      <c r="G33" s="351"/>
      <c r="H33" s="351"/>
    </row>
    <row r="34" spans="2:8" ht="65.25" customHeight="1" x14ac:dyDescent="0.25">
      <c r="B34" s="1" t="s">
        <v>274</v>
      </c>
      <c r="C34" s="363" t="s">
        <v>51</v>
      </c>
      <c r="D34" s="363"/>
      <c r="E34" s="116" t="s">
        <v>299</v>
      </c>
      <c r="F34" s="116" t="s">
        <v>300</v>
      </c>
      <c r="G34" s="328" t="s">
        <v>301</v>
      </c>
      <c r="H34" s="328"/>
    </row>
    <row r="35" spans="2:8" ht="16.5" customHeight="1" x14ac:dyDescent="0.25">
      <c r="B35" s="1" t="s">
        <v>279</v>
      </c>
      <c r="C35" s="364" t="str">
        <f>ENCARREGADO_DE_LIMPEZA</f>
        <v>Encarregado de Limpeza</v>
      </c>
      <c r="D35" s="364"/>
      <c r="E35" s="86">
        <f>IF(QTDE_DE_ENC=0,"",QTDE_DE_ENC*ENCARREGADOS!VALOR_TOTAL_ENC)</f>
        <v>8636.1200000000008</v>
      </c>
      <c r="F35" s="98">
        <f>IF(QTDE_DE_ENC=0,"",IFERROR(AREA_INTERNA_TOTAL*CUSTO_M2_AREA_INTERNA_ENC+AREA_EXTERNA_TOTAL*CUSTO_M2_AREA_EXTERNA_ENC+AREA_ESQ_EXTERNA_TOTAL*CUSTO_M2_ESQ_EXTERNA_ENC+AREA_FACHADA_ENVID_TOTAL*CUSTO_M2_FACHADA_ENVID_ENC,""))</f>
        <v>9426.5</v>
      </c>
      <c r="G35" s="362" t="str">
        <f>IF(E37=0,"Não se aplica",IF(AND(E37&lt;=F37,E37&gt;0),"SIM, está em conformidade.","NÃO, é superior. Verifique se o quantitativo de serventes está em conformidade com a área a ser limpa."))</f>
        <v>SIM, está em conformidade.</v>
      </c>
      <c r="H35" s="362"/>
    </row>
    <row r="36" spans="2:8" ht="16.5" x14ac:dyDescent="0.25">
      <c r="B36" s="2" t="s">
        <v>280</v>
      </c>
      <c r="C36" s="365" t="str">
        <f>SERVENTE</f>
        <v>Servente</v>
      </c>
      <c r="D36" s="365"/>
      <c r="E36" s="3">
        <f>IF(QTDE_DE_SERV=0,"",QTDE_DE_SERV*VALOR_TOTAL_SERV)</f>
        <v>74565.119999999995</v>
      </c>
      <c r="F36" s="101">
        <f>IF(QTDE_DE_SERV=0,"",IFERROR(AREA_INTERNA_TOTAL*CUSTO_M2_AREA_INTERNA_SERV+AREA_EXTERNA_TOTAL*CUSTO_M2_AREA_EXTERNA_SERV+AREA_ESQ_EXTERNA_TOTAL*CUSTO_M2_ESQ_EXTERNA_SERV+AREA_FACHADA_ENVID_TOTAL*CUSTO_M2_FACHADA_ENVID_SERV,""))</f>
        <v>88264.5</v>
      </c>
      <c r="G36" s="362"/>
      <c r="H36" s="362"/>
    </row>
    <row r="37" spans="2:8" ht="16.5" customHeight="1" x14ac:dyDescent="0.25">
      <c r="B37" s="366" t="s">
        <v>302</v>
      </c>
      <c r="C37" s="366"/>
      <c r="D37" s="366"/>
      <c r="E37" s="104">
        <f>IF(QTDE_DE_SERV=0,"",SUM(E35:E36))</f>
        <v>83201.240000000005</v>
      </c>
      <c r="F37" s="103">
        <f>IF(QTDE_DE_SERV=0,"",IFERROR(VALOR_LIMITES_AREA_INTERNA+VALOR_LIMITES_AREA_EXTERNA+VALOR_LIMITES_ESQ_EXTERNA+VALOR_LIMITES_FACHADA_ENVID,""))</f>
        <v>97691</v>
      </c>
      <c r="G37" s="362"/>
      <c r="H37" s="362"/>
    </row>
    <row r="38" spans="2:8" x14ac:dyDescent="0.25">
      <c r="F38" s="196"/>
    </row>
    <row r="41" spans="2:8" x14ac:dyDescent="0.25">
      <c r="G41" s="196"/>
    </row>
  </sheetData>
  <mergeCells count="31">
    <mergeCell ref="G34:H34"/>
    <mergeCell ref="G35:H37"/>
    <mergeCell ref="B32:H33"/>
    <mergeCell ref="C34:D34"/>
    <mergeCell ref="C35:D35"/>
    <mergeCell ref="C36:D36"/>
    <mergeCell ref="B37:D37"/>
    <mergeCell ref="B19:C19"/>
    <mergeCell ref="B20:C20"/>
    <mergeCell ref="B1:F1"/>
    <mergeCell ref="B2:D2"/>
    <mergeCell ref="B4:G4"/>
    <mergeCell ref="B9:D9"/>
    <mergeCell ref="B17:C17"/>
    <mergeCell ref="B18:C18"/>
    <mergeCell ref="B10:D10"/>
    <mergeCell ref="B11:D11"/>
    <mergeCell ref="B12:D12"/>
    <mergeCell ref="B13:D13"/>
    <mergeCell ref="B14:D14"/>
    <mergeCell ref="B27:C27"/>
    <mergeCell ref="B28:C28"/>
    <mergeCell ref="D24:D26"/>
    <mergeCell ref="B22:H23"/>
    <mergeCell ref="B30:C30"/>
    <mergeCell ref="E24:F25"/>
    <mergeCell ref="G24:H25"/>
    <mergeCell ref="B24:C26"/>
    <mergeCell ref="B29:C29"/>
    <mergeCell ref="G26:H26"/>
    <mergeCell ref="E26:F26"/>
  </mergeCells>
  <pageMargins left="0.17" right="0.17" top="0.33" bottom="0.17" header="0.31496062000000002" footer="0.31496062000000002"/>
  <pageSetup paperSize="9" scale="73" orientation="portrait" r:id="rId1"/>
  <ignoredErrors>
    <ignoredError sqref="B1:F1 B2:E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4"/>
  <sheetViews>
    <sheetView workbookViewId="0">
      <selection activeCell="R31" sqref="R31"/>
    </sheetView>
  </sheetViews>
  <sheetFormatPr defaultRowHeight="16.5" x14ac:dyDescent="0.3"/>
  <cols>
    <col min="1" max="1" width="9.140625" style="87"/>
    <col min="2" max="2" width="13.5703125" style="87" customWidth="1"/>
    <col min="3" max="10" width="9.7109375" style="87" customWidth="1"/>
    <col min="11" max="16384" width="9.140625" style="87"/>
  </cols>
  <sheetData>
    <row r="1" spans="1:14" ht="17.25" x14ac:dyDescent="0.3">
      <c r="A1" s="93" t="s">
        <v>303</v>
      </c>
      <c r="B1" s="93"/>
      <c r="C1" s="93"/>
      <c r="D1" s="93"/>
      <c r="E1" s="93"/>
      <c r="F1" s="93"/>
      <c r="G1" s="93"/>
      <c r="H1" s="88"/>
      <c r="J1" s="195" t="s">
        <v>304</v>
      </c>
    </row>
    <row r="2" spans="1:14" ht="28.5" customHeight="1" x14ac:dyDescent="0.3">
      <c r="A2" s="371" t="s">
        <v>305</v>
      </c>
      <c r="B2" s="374" t="s">
        <v>306</v>
      </c>
      <c r="C2" s="367" t="s">
        <v>307</v>
      </c>
      <c r="D2" s="368"/>
      <c r="E2" s="367" t="s">
        <v>308</v>
      </c>
      <c r="F2" s="368"/>
      <c r="G2" s="367" t="s">
        <v>309</v>
      </c>
      <c r="H2" s="368"/>
      <c r="I2" s="367" t="s">
        <v>310</v>
      </c>
      <c r="J2" s="368"/>
    </row>
    <row r="3" spans="1:14" ht="12" customHeight="1" x14ac:dyDescent="0.3">
      <c r="A3" s="372"/>
      <c r="B3" s="375"/>
      <c r="C3" s="117">
        <v>600</v>
      </c>
      <c r="D3" s="118" t="s">
        <v>311</v>
      </c>
      <c r="E3" s="117">
        <v>1200</v>
      </c>
      <c r="F3" s="118" t="s">
        <v>311</v>
      </c>
      <c r="G3" s="117">
        <v>220</v>
      </c>
      <c r="H3" s="118" t="s">
        <v>311</v>
      </c>
      <c r="I3" s="117">
        <v>110</v>
      </c>
      <c r="J3" s="118" t="s">
        <v>311</v>
      </c>
    </row>
    <row r="4" spans="1:14" ht="33.75" customHeight="1" x14ac:dyDescent="0.3">
      <c r="A4" s="373"/>
      <c r="B4" s="376"/>
      <c r="C4" s="89" t="s">
        <v>296</v>
      </c>
      <c r="D4" s="89" t="s">
        <v>297</v>
      </c>
      <c r="E4" s="89" t="s">
        <v>296</v>
      </c>
      <c r="F4" s="89" t="s">
        <v>297</v>
      </c>
      <c r="G4" s="89" t="s">
        <v>296</v>
      </c>
      <c r="H4" s="89" t="s">
        <v>297</v>
      </c>
      <c r="I4" s="89" t="s">
        <v>296</v>
      </c>
      <c r="J4" s="89" t="s">
        <v>297</v>
      </c>
    </row>
    <row r="5" spans="1:14" x14ac:dyDescent="0.3">
      <c r="A5" s="1" t="s">
        <v>312</v>
      </c>
      <c r="B5" s="90">
        <v>42979</v>
      </c>
      <c r="C5" s="91">
        <v>4.76</v>
      </c>
      <c r="D5" s="91">
        <v>5.73</v>
      </c>
      <c r="E5" s="91">
        <v>2.38</v>
      </c>
      <c r="F5" s="91">
        <v>2.86</v>
      </c>
      <c r="G5" s="91">
        <v>1.1000000000000001</v>
      </c>
      <c r="H5" s="91">
        <v>1.32</v>
      </c>
      <c r="I5" s="91">
        <v>0.24</v>
      </c>
      <c r="J5" s="91">
        <v>0.28999999999999998</v>
      </c>
    </row>
    <row r="6" spans="1:14" x14ac:dyDescent="0.3">
      <c r="A6" s="1" t="s">
        <v>313</v>
      </c>
      <c r="B6" s="90">
        <v>43805</v>
      </c>
      <c r="C6" s="92">
        <v>5.18</v>
      </c>
      <c r="D6" s="92">
        <v>6.23</v>
      </c>
      <c r="E6" s="92">
        <v>2.59</v>
      </c>
      <c r="F6" s="92">
        <v>3.12</v>
      </c>
      <c r="G6" s="92">
        <v>1.2</v>
      </c>
      <c r="H6" s="92">
        <v>1.44</v>
      </c>
      <c r="I6" s="92">
        <v>0.25</v>
      </c>
      <c r="J6" s="92">
        <v>0.3</v>
      </c>
      <c r="N6" s="202"/>
    </row>
    <row r="7" spans="1:14" x14ac:dyDescent="0.3">
      <c r="A7" s="1" t="s">
        <v>314</v>
      </c>
      <c r="B7" s="90">
        <v>43643</v>
      </c>
      <c r="C7" s="91">
        <v>3.87</v>
      </c>
      <c r="D7" s="91">
        <v>4.66</v>
      </c>
      <c r="E7" s="91">
        <v>2.58</v>
      </c>
      <c r="F7" s="91">
        <v>3.11</v>
      </c>
      <c r="G7" s="91">
        <v>1.72</v>
      </c>
      <c r="H7" s="91">
        <v>2.0699999999999998</v>
      </c>
      <c r="I7" s="91">
        <v>1.1499999999999999</v>
      </c>
      <c r="J7" s="91">
        <v>1.38</v>
      </c>
      <c r="N7" s="201"/>
    </row>
    <row r="8" spans="1:14" x14ac:dyDescent="0.3">
      <c r="A8" s="1" t="s">
        <v>315</v>
      </c>
      <c r="B8" s="90">
        <v>43349</v>
      </c>
      <c r="C8" s="92">
        <v>4.9800000000000004</v>
      </c>
      <c r="D8" s="92">
        <v>5.99</v>
      </c>
      <c r="E8" s="92">
        <v>2.4900000000000002</v>
      </c>
      <c r="F8" s="92">
        <v>3</v>
      </c>
      <c r="G8" s="92">
        <v>1.1499999999999999</v>
      </c>
      <c r="H8" s="92">
        <v>1.39</v>
      </c>
      <c r="I8" s="92">
        <v>0.24</v>
      </c>
      <c r="J8" s="92">
        <v>0.28999999999999998</v>
      </c>
      <c r="N8" s="202"/>
    </row>
    <row r="9" spans="1:14" x14ac:dyDescent="0.3">
      <c r="A9" s="1" t="s">
        <v>316</v>
      </c>
      <c r="B9" s="90">
        <v>42899</v>
      </c>
      <c r="C9" s="91">
        <v>4.6500000000000004</v>
      </c>
      <c r="D9" s="91">
        <v>5.63</v>
      </c>
      <c r="E9" s="91">
        <v>2.3199999999999998</v>
      </c>
      <c r="F9" s="91">
        <v>2.81</v>
      </c>
      <c r="G9" s="91">
        <v>1.07</v>
      </c>
      <c r="H9" s="91">
        <v>1.3</v>
      </c>
      <c r="I9" s="91">
        <v>0.22</v>
      </c>
      <c r="J9" s="91">
        <v>0.27</v>
      </c>
      <c r="N9" s="201"/>
    </row>
    <row r="10" spans="1:14" x14ac:dyDescent="0.3">
      <c r="A10" s="1" t="s">
        <v>317</v>
      </c>
      <c r="B10" s="90">
        <v>43690</v>
      </c>
      <c r="C10" s="92">
        <v>5.71</v>
      </c>
      <c r="D10" s="92">
        <v>6.87</v>
      </c>
      <c r="E10" s="92">
        <v>2.85</v>
      </c>
      <c r="F10" s="92">
        <v>3.44</v>
      </c>
      <c r="G10" s="92">
        <v>1.32</v>
      </c>
      <c r="H10" s="92">
        <v>1.59</v>
      </c>
      <c r="I10" s="92">
        <v>0.27</v>
      </c>
      <c r="J10" s="92">
        <v>0.32</v>
      </c>
      <c r="N10" s="202"/>
    </row>
    <row r="11" spans="1:14" x14ac:dyDescent="0.3">
      <c r="A11" s="1" t="s">
        <v>40</v>
      </c>
      <c r="B11" s="90">
        <v>43593</v>
      </c>
      <c r="C11" s="91">
        <v>5.6</v>
      </c>
      <c r="D11" s="91">
        <v>6.73</v>
      </c>
      <c r="E11" s="91">
        <v>3.73</v>
      </c>
      <c r="F11" s="91">
        <v>4.4800000000000004</v>
      </c>
      <c r="G11" s="91">
        <v>2.4900000000000002</v>
      </c>
      <c r="H11" s="91">
        <v>2.99</v>
      </c>
      <c r="I11" s="91">
        <v>1.66</v>
      </c>
      <c r="J11" s="91">
        <v>1.99</v>
      </c>
      <c r="N11" s="206"/>
    </row>
    <row r="12" spans="1:14" x14ac:dyDescent="0.3">
      <c r="A12" s="1" t="s">
        <v>318</v>
      </c>
      <c r="B12" s="90">
        <v>43234</v>
      </c>
      <c r="C12" s="92">
        <v>6.06</v>
      </c>
      <c r="D12" s="92">
        <v>7.3</v>
      </c>
      <c r="E12" s="92">
        <v>3.03</v>
      </c>
      <c r="F12" s="92">
        <v>3.65</v>
      </c>
      <c r="G12" s="92">
        <v>1.4</v>
      </c>
      <c r="H12" s="92">
        <v>1.69</v>
      </c>
      <c r="I12" s="92">
        <v>0.28000000000000003</v>
      </c>
      <c r="J12" s="92">
        <v>0.34</v>
      </c>
      <c r="N12" s="205"/>
    </row>
    <row r="13" spans="1:14" x14ac:dyDescent="0.3">
      <c r="A13" s="1" t="s">
        <v>319</v>
      </c>
      <c r="B13" s="90">
        <v>43690</v>
      </c>
      <c r="C13" s="91">
        <v>5.26</v>
      </c>
      <c r="D13" s="91">
        <v>6.33</v>
      </c>
      <c r="E13" s="91">
        <v>2.63</v>
      </c>
      <c r="F13" s="91">
        <v>3.17</v>
      </c>
      <c r="G13" s="91">
        <v>1.22</v>
      </c>
      <c r="H13" s="91">
        <v>1.46</v>
      </c>
      <c r="I13" s="91">
        <v>0.41</v>
      </c>
      <c r="J13" s="91">
        <v>0.49</v>
      </c>
      <c r="N13" s="206"/>
    </row>
    <row r="14" spans="1:14" x14ac:dyDescent="0.3">
      <c r="A14" s="1" t="s">
        <v>320</v>
      </c>
      <c r="B14" s="90">
        <v>43349</v>
      </c>
      <c r="C14" s="92">
        <v>5.25</v>
      </c>
      <c r="D14" s="92">
        <v>6.32</v>
      </c>
      <c r="E14" s="92">
        <v>2.63</v>
      </c>
      <c r="F14" s="92">
        <v>3.16</v>
      </c>
      <c r="G14" s="92">
        <v>1.21</v>
      </c>
      <c r="H14" s="92">
        <v>1.46</v>
      </c>
      <c r="I14" s="92">
        <v>0.25</v>
      </c>
      <c r="J14" s="92">
        <v>0.3</v>
      </c>
      <c r="N14" s="205"/>
    </row>
    <row r="15" spans="1:14" x14ac:dyDescent="0.3">
      <c r="A15" s="1" t="s">
        <v>321</v>
      </c>
      <c r="B15" s="90">
        <v>43643</v>
      </c>
      <c r="C15" s="91">
        <v>5.85</v>
      </c>
      <c r="D15" s="91">
        <v>7.04</v>
      </c>
      <c r="E15" s="91">
        <v>2.92</v>
      </c>
      <c r="F15" s="91">
        <v>3.52</v>
      </c>
      <c r="G15" s="91">
        <v>1.35</v>
      </c>
      <c r="H15" s="91">
        <v>1.63</v>
      </c>
      <c r="I15" s="91">
        <v>0.3</v>
      </c>
      <c r="J15" s="91">
        <v>0.36</v>
      </c>
      <c r="N15" s="206"/>
    </row>
    <row r="16" spans="1:14" x14ac:dyDescent="0.3">
      <c r="A16" s="1" t="s">
        <v>322</v>
      </c>
      <c r="B16" s="90">
        <v>43643</v>
      </c>
      <c r="C16" s="92">
        <v>4.92</v>
      </c>
      <c r="D16" s="92">
        <v>5.92</v>
      </c>
      <c r="E16" s="92">
        <v>2.46</v>
      </c>
      <c r="F16" s="92">
        <v>2.96</v>
      </c>
      <c r="G16" s="92">
        <v>1.1399999999999999</v>
      </c>
      <c r="H16" s="92">
        <v>1.37</v>
      </c>
      <c r="I16" s="92">
        <v>0.24</v>
      </c>
      <c r="J16" s="92">
        <v>0.28999999999999998</v>
      </c>
      <c r="N16" s="205"/>
    </row>
    <row r="17" spans="1:15" x14ac:dyDescent="0.3">
      <c r="A17" s="1" t="s">
        <v>323</v>
      </c>
      <c r="B17" s="90">
        <v>43805</v>
      </c>
      <c r="C17" s="91">
        <v>5.82</v>
      </c>
      <c r="D17" s="91">
        <v>7.01</v>
      </c>
      <c r="E17" s="91">
        <v>2.91</v>
      </c>
      <c r="F17" s="91">
        <v>3.5</v>
      </c>
      <c r="G17" s="91">
        <v>1.34</v>
      </c>
      <c r="H17" s="91">
        <v>1.62</v>
      </c>
      <c r="I17" s="91">
        <v>0.31</v>
      </c>
      <c r="J17" s="91">
        <v>0.37</v>
      </c>
      <c r="N17" s="206"/>
      <c r="O17" s="202"/>
    </row>
    <row r="18" spans="1:15" x14ac:dyDescent="0.3">
      <c r="A18" s="1" t="s">
        <v>324</v>
      </c>
      <c r="B18" s="90">
        <v>43690</v>
      </c>
      <c r="C18" s="92">
        <v>5.59</v>
      </c>
      <c r="D18" s="92">
        <v>6.72</v>
      </c>
      <c r="E18" s="92">
        <v>2.79</v>
      </c>
      <c r="F18" s="92">
        <v>3.36</v>
      </c>
      <c r="G18" s="92">
        <v>1.29</v>
      </c>
      <c r="H18" s="92">
        <v>1.55</v>
      </c>
      <c r="I18" s="92">
        <v>0.27</v>
      </c>
      <c r="J18" s="92">
        <v>0.33</v>
      </c>
      <c r="N18" s="205"/>
      <c r="O18" s="201"/>
    </row>
    <row r="19" spans="1:15" x14ac:dyDescent="0.3">
      <c r="A19" s="1" t="s">
        <v>325</v>
      </c>
      <c r="B19" s="90">
        <v>43761</v>
      </c>
      <c r="C19" s="91">
        <v>4.9800000000000004</v>
      </c>
      <c r="D19" s="91">
        <v>6</v>
      </c>
      <c r="E19" s="91">
        <v>2.4900000000000002</v>
      </c>
      <c r="F19" s="91">
        <v>3</v>
      </c>
      <c r="G19" s="91">
        <v>1.1499999999999999</v>
      </c>
      <c r="H19" s="91">
        <v>1.39</v>
      </c>
      <c r="I19" s="91">
        <v>0.24</v>
      </c>
      <c r="J19" s="91">
        <v>0.28999999999999998</v>
      </c>
      <c r="O19" s="202"/>
    </row>
    <row r="20" spans="1:15" x14ac:dyDescent="0.3">
      <c r="A20" s="1" t="s">
        <v>326</v>
      </c>
      <c r="B20" s="90">
        <v>43287</v>
      </c>
      <c r="C20" s="92">
        <v>4.93</v>
      </c>
      <c r="D20" s="92">
        <v>5.94</v>
      </c>
      <c r="E20" s="92">
        <v>2.4700000000000002</v>
      </c>
      <c r="F20" s="92">
        <v>2.97</v>
      </c>
      <c r="G20" s="92">
        <v>1.1399999999999999</v>
      </c>
      <c r="H20" s="92">
        <v>1.37</v>
      </c>
      <c r="I20" s="92">
        <v>0.24</v>
      </c>
      <c r="J20" s="92">
        <v>0.28000000000000003</v>
      </c>
      <c r="O20" s="201"/>
    </row>
    <row r="21" spans="1:15" x14ac:dyDescent="0.3">
      <c r="A21" s="1" t="s">
        <v>327</v>
      </c>
      <c r="B21" s="90">
        <v>43805</v>
      </c>
      <c r="C21" s="91">
        <v>5.23</v>
      </c>
      <c r="D21" s="91">
        <v>6.29</v>
      </c>
      <c r="E21" s="91">
        <v>2.61</v>
      </c>
      <c r="F21" s="91">
        <v>3.15</v>
      </c>
      <c r="G21" s="91">
        <v>1.21</v>
      </c>
      <c r="H21" s="91">
        <v>1.46</v>
      </c>
      <c r="I21" s="91">
        <v>0.28000000000000003</v>
      </c>
      <c r="J21" s="91">
        <v>0.34</v>
      </c>
      <c r="O21" s="202"/>
    </row>
    <row r="22" spans="1:15" x14ac:dyDescent="0.3">
      <c r="A22" s="1" t="s">
        <v>328</v>
      </c>
      <c r="B22" s="90">
        <v>43234</v>
      </c>
      <c r="C22" s="92">
        <v>5.81</v>
      </c>
      <c r="D22" s="92">
        <v>7</v>
      </c>
      <c r="E22" s="92">
        <v>2.91</v>
      </c>
      <c r="F22" s="92">
        <v>3.5</v>
      </c>
      <c r="G22" s="92">
        <v>1.34</v>
      </c>
      <c r="H22" s="92">
        <v>1.62</v>
      </c>
      <c r="I22" s="92">
        <v>0.28000000000000003</v>
      </c>
      <c r="J22" s="92">
        <v>0.33</v>
      </c>
      <c r="O22" s="201"/>
    </row>
    <row r="23" spans="1:15" x14ac:dyDescent="0.3">
      <c r="A23" s="1" t="s">
        <v>329</v>
      </c>
      <c r="B23" s="90">
        <v>43336</v>
      </c>
      <c r="C23" s="91">
        <v>5.95</v>
      </c>
      <c r="D23" s="91">
        <v>7.16</v>
      </c>
      <c r="E23" s="91">
        <v>2.97</v>
      </c>
      <c r="F23" s="91">
        <v>3.58</v>
      </c>
      <c r="G23" s="91">
        <v>1.37</v>
      </c>
      <c r="H23" s="91">
        <v>1.66</v>
      </c>
      <c r="I23" s="91">
        <v>0.34</v>
      </c>
      <c r="J23" s="91">
        <v>0.28000000000000003</v>
      </c>
      <c r="O23" s="202"/>
    </row>
    <row r="24" spans="1:15" x14ac:dyDescent="0.3">
      <c r="A24" s="1" t="s">
        <v>330</v>
      </c>
      <c r="B24" s="90">
        <v>43349</v>
      </c>
      <c r="C24" s="92">
        <v>4.63</v>
      </c>
      <c r="D24" s="92">
        <v>5.57</v>
      </c>
      <c r="E24" s="92">
        <v>2.31</v>
      </c>
      <c r="F24" s="92">
        <v>2.79</v>
      </c>
      <c r="G24" s="92">
        <v>1.07</v>
      </c>
      <c r="H24" s="92">
        <v>1.29</v>
      </c>
      <c r="I24" s="92">
        <v>0.22</v>
      </c>
      <c r="J24" s="92">
        <v>0.26</v>
      </c>
      <c r="O24" s="201"/>
    </row>
    <row r="25" spans="1:15" x14ac:dyDescent="0.3">
      <c r="A25" s="1" t="s">
        <v>331</v>
      </c>
      <c r="B25" s="90">
        <v>43336</v>
      </c>
      <c r="C25" s="91">
        <v>5.59</v>
      </c>
      <c r="D25" s="91">
        <v>6.73</v>
      </c>
      <c r="E25" s="91">
        <v>2.79</v>
      </c>
      <c r="F25" s="91">
        <v>3.36</v>
      </c>
      <c r="G25" s="91">
        <v>1.29</v>
      </c>
      <c r="H25" s="91">
        <v>1.55</v>
      </c>
      <c r="I25" s="91">
        <v>0.3</v>
      </c>
      <c r="J25" s="91">
        <v>0.36</v>
      </c>
    </row>
    <row r="26" spans="1:15" x14ac:dyDescent="0.3">
      <c r="A26" s="1" t="s">
        <v>332</v>
      </c>
      <c r="B26" s="90">
        <v>42989</v>
      </c>
      <c r="C26" s="92">
        <v>5.45</v>
      </c>
      <c r="D26" s="92">
        <v>6.6</v>
      </c>
      <c r="E26" s="92">
        <v>2.72</v>
      </c>
      <c r="F26" s="92">
        <v>3.3</v>
      </c>
      <c r="G26" s="92">
        <v>1.26</v>
      </c>
      <c r="H26" s="92">
        <v>1.53</v>
      </c>
      <c r="I26" s="92">
        <v>0.31</v>
      </c>
      <c r="J26" s="92">
        <v>0.38</v>
      </c>
    </row>
    <row r="27" spans="1:15" x14ac:dyDescent="0.3">
      <c r="A27" s="1" t="s">
        <v>333</v>
      </c>
      <c r="B27" s="90">
        <v>43643</v>
      </c>
      <c r="C27" s="91">
        <v>6.28</v>
      </c>
      <c r="D27" s="91">
        <v>7.56</v>
      </c>
      <c r="E27" s="91">
        <v>3.14</v>
      </c>
      <c r="F27" s="91">
        <v>3.78</v>
      </c>
      <c r="G27" s="91">
        <v>1.45</v>
      </c>
      <c r="H27" s="91">
        <v>1.75</v>
      </c>
      <c r="I27" s="91">
        <v>0.3</v>
      </c>
      <c r="J27" s="91">
        <v>0.36</v>
      </c>
    </row>
    <row r="28" spans="1:15" x14ac:dyDescent="0.3">
      <c r="A28" s="1" t="s">
        <v>334</v>
      </c>
      <c r="B28" s="90">
        <v>43690</v>
      </c>
      <c r="C28" s="92">
        <v>6.61</v>
      </c>
      <c r="D28" s="92">
        <v>7.96</v>
      </c>
      <c r="E28" s="92">
        <v>3.3</v>
      </c>
      <c r="F28" s="92">
        <v>3.98</v>
      </c>
      <c r="G28" s="92">
        <v>1.53</v>
      </c>
      <c r="H28" s="92">
        <v>1.84</v>
      </c>
      <c r="I28" s="92">
        <v>0.32</v>
      </c>
      <c r="J28" s="92">
        <v>0.39</v>
      </c>
    </row>
    <row r="29" spans="1:15" x14ac:dyDescent="0.3">
      <c r="A29" s="1" t="s">
        <v>335</v>
      </c>
      <c r="B29" s="90">
        <v>43761</v>
      </c>
      <c r="C29" s="91">
        <v>4.92</v>
      </c>
      <c r="D29" s="91">
        <v>5.93</v>
      </c>
      <c r="E29" s="91">
        <v>2.46</v>
      </c>
      <c r="F29" s="91">
        <v>2.96</v>
      </c>
      <c r="G29" s="91">
        <v>1.1399999999999999</v>
      </c>
      <c r="H29" s="91">
        <v>1.37</v>
      </c>
      <c r="I29" s="91">
        <v>0.23</v>
      </c>
      <c r="J29" s="91">
        <v>0.28000000000000003</v>
      </c>
    </row>
    <row r="30" spans="1:15" x14ac:dyDescent="0.3">
      <c r="A30" s="1" t="s">
        <v>336</v>
      </c>
      <c r="B30" s="90">
        <v>43761</v>
      </c>
      <c r="C30" s="92">
        <v>5.98</v>
      </c>
      <c r="D30" s="92">
        <v>7.2</v>
      </c>
      <c r="E30" s="92">
        <v>2.99</v>
      </c>
      <c r="F30" s="92">
        <v>3.6</v>
      </c>
      <c r="G30" s="92">
        <v>1.38</v>
      </c>
      <c r="H30" s="92">
        <v>1.67</v>
      </c>
      <c r="I30" s="92">
        <v>0.36</v>
      </c>
      <c r="J30" s="92">
        <v>0.43</v>
      </c>
    </row>
    <row r="31" spans="1:15" x14ac:dyDescent="0.3">
      <c r="A31" s="1" t="s">
        <v>337</v>
      </c>
      <c r="B31" s="90">
        <v>43761</v>
      </c>
      <c r="C31" s="91">
        <v>5.75</v>
      </c>
      <c r="D31" s="91">
        <v>6.92</v>
      </c>
      <c r="E31" s="91">
        <v>2.88</v>
      </c>
      <c r="F31" s="91">
        <v>3.46</v>
      </c>
      <c r="G31" s="91">
        <v>1.33</v>
      </c>
      <c r="H31" s="91">
        <v>1.6</v>
      </c>
      <c r="I31" s="91">
        <v>0.43</v>
      </c>
      <c r="J31" s="91">
        <v>0.52</v>
      </c>
    </row>
    <row r="32" spans="1:15" x14ac:dyDescent="0.3">
      <c r="A32" s="377" t="s">
        <v>338</v>
      </c>
      <c r="B32" s="378"/>
      <c r="C32" s="81">
        <f>AVERAGE(C5:C31)</f>
        <v>5.39</v>
      </c>
      <c r="D32" s="81">
        <f t="shared" ref="D32:H32" si="0">AVERAGE(D5:D31)</f>
        <v>6.49</v>
      </c>
      <c r="E32" s="81">
        <f t="shared" si="0"/>
        <v>2.75</v>
      </c>
      <c r="F32" s="81">
        <f t="shared" si="0"/>
        <v>3.32</v>
      </c>
      <c r="G32" s="81">
        <f t="shared" si="0"/>
        <v>1.32</v>
      </c>
      <c r="H32" s="81">
        <f t="shared" si="0"/>
        <v>1.59</v>
      </c>
      <c r="I32" s="81">
        <f t="shared" ref="I32:J32" si="1">AVERAGE(I5:I31)</f>
        <v>0.37</v>
      </c>
      <c r="J32" s="81">
        <f t="shared" si="1"/>
        <v>0.44</v>
      </c>
    </row>
    <row r="33" spans="1:10" x14ac:dyDescent="0.3">
      <c r="A33" s="369" t="s">
        <v>339</v>
      </c>
      <c r="B33" s="370"/>
      <c r="C33" s="81">
        <f>SMALL(C5:C31,27)</f>
        <v>6.61</v>
      </c>
      <c r="D33" s="81">
        <f t="shared" ref="D33:H33" si="2">SMALL(D5:D31,27)</f>
        <v>7.96</v>
      </c>
      <c r="E33" s="81">
        <f t="shared" si="2"/>
        <v>3.73</v>
      </c>
      <c r="F33" s="81">
        <f t="shared" si="2"/>
        <v>4.4800000000000004</v>
      </c>
      <c r="G33" s="81">
        <f t="shared" si="2"/>
        <v>2.4900000000000002</v>
      </c>
      <c r="H33" s="81">
        <f t="shared" si="2"/>
        <v>2.99</v>
      </c>
      <c r="I33" s="81">
        <f t="shared" ref="I33:J33" si="3">SMALL(I5:I31,27)</f>
        <v>1.66</v>
      </c>
      <c r="J33" s="81">
        <f t="shared" si="3"/>
        <v>1.99</v>
      </c>
    </row>
    <row r="34" spans="1:10" x14ac:dyDescent="0.3">
      <c r="A34" s="369" t="s">
        <v>340</v>
      </c>
      <c r="B34" s="370"/>
      <c r="C34" s="81">
        <f>LARGE(C6:C32,27)</f>
        <v>3.87</v>
      </c>
      <c r="D34" s="81">
        <f t="shared" ref="D34:H34" si="4">LARGE(D6:D32,27)</f>
        <v>4.66</v>
      </c>
      <c r="E34" s="81">
        <f t="shared" si="4"/>
        <v>2.31</v>
      </c>
      <c r="F34" s="81">
        <f t="shared" si="4"/>
        <v>2.79</v>
      </c>
      <c r="G34" s="81">
        <f t="shared" si="4"/>
        <v>1.07</v>
      </c>
      <c r="H34" s="81">
        <f t="shared" si="4"/>
        <v>1.29</v>
      </c>
      <c r="I34" s="81">
        <f t="shared" ref="I34:J34" si="5">LARGE(I6:I32,27)</f>
        <v>0.22</v>
      </c>
      <c r="J34" s="81">
        <f t="shared" si="5"/>
        <v>0.26</v>
      </c>
    </row>
  </sheetData>
  <sheetProtection sheet="1" objects="1" scenarios="1"/>
  <mergeCells count="9">
    <mergeCell ref="I2:J2"/>
    <mergeCell ref="A33:B33"/>
    <mergeCell ref="A34:B34"/>
    <mergeCell ref="A2:A4"/>
    <mergeCell ref="B2:B4"/>
    <mergeCell ref="A32:B32"/>
    <mergeCell ref="C2:D2"/>
    <mergeCell ref="E2:F2"/>
    <mergeCell ref="G2:H2"/>
  </mergeCells>
  <printOptions horizontalCentered="1" verticalCentered="1"/>
  <pageMargins left="0.15748031496062992" right="0.15748031496062992" top="0.17" bottom="0.17" header="0.17" footer="0.1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236</vt:i4>
      </vt:variant>
    </vt:vector>
  </HeadingPairs>
  <TitlesOfParts>
    <vt:vector size="247" baseType="lpstr">
      <vt:lpstr>INSERÇÃO-DE-DADOS</vt:lpstr>
      <vt:lpstr>DADOS-ESTATISTICOS</vt:lpstr>
      <vt:lpstr>ENCARGOS-SOCIAIS-E-TRABALHISTAS</vt:lpstr>
      <vt:lpstr>ENCARREGADOS</vt:lpstr>
      <vt:lpstr>SERVENTES</vt:lpstr>
      <vt:lpstr>JARDINEIRO</vt:lpstr>
      <vt:lpstr>CUSTOS POR M²</vt:lpstr>
      <vt:lpstr>QUADRO-RESUMO</vt:lpstr>
      <vt:lpstr>LIMITES-SEGES-PORT-7-2015</vt:lpstr>
      <vt:lpstr>LIMITES-SEGES-PORT-213-2017</vt:lpstr>
      <vt:lpstr>QTDE-ESTIMADA-SERVENTES</vt:lpstr>
      <vt:lpstr>ACORDO_COLETIVO</vt:lpstr>
      <vt:lpstr>ADIC_INSALUB_ENC</vt:lpstr>
      <vt:lpstr>ADIC_INSALUB_SERV</vt:lpstr>
      <vt:lpstr>ADIC_INSALUB_SERV_HOSP</vt:lpstr>
      <vt:lpstr>ENCARREGADOS!AL_1_A_SAL_BASE_ENC</vt:lpstr>
      <vt:lpstr>SERVENTES!AL_1_A_SAL_BASE_SERV</vt:lpstr>
      <vt:lpstr>JARDINEIRO!AL_1_A_SAL_BASE_SERV_HOSP</vt:lpstr>
      <vt:lpstr>ENCARREGADOS!AL_1_C_OUTROS_REM_1_ENC</vt:lpstr>
      <vt:lpstr>AL_1_C_OUTROS_REM_1_SERV</vt:lpstr>
      <vt:lpstr>AL_1_D_OUTROS_REM_2_ENC</vt:lpstr>
      <vt:lpstr>AL_1_D_OUTROS_REM_2_SERV</vt:lpstr>
      <vt:lpstr>SERVENTES!AL_1_E_OUTROS_REM_3_ENC</vt:lpstr>
      <vt:lpstr>AL_1_E_OUTROS_REM_3_SERV</vt:lpstr>
      <vt:lpstr>SERVENTES!AL_2_1_A_DEC_TERC_ENC</vt:lpstr>
      <vt:lpstr>ENCARREGADOS!AL_2_1_A_DEC_TERC_SERV</vt:lpstr>
      <vt:lpstr>ENCARREGADOS!AL_2_1_B_ADIC_FERIAS_ENC</vt:lpstr>
      <vt:lpstr>SERVENTES!AL_2_1_B_ADIC_FERIAS_SERV</vt:lpstr>
      <vt:lpstr>ENCARREGADOS!AL_2_2_FGTS_ENC</vt:lpstr>
      <vt:lpstr>SERVENTES!AL_2_2_FGTS_SERV</vt:lpstr>
      <vt:lpstr>JARDINEIRO!AL_2_2_FGTS_SERV_HOSP</vt:lpstr>
      <vt:lpstr>ENCARREGADOS!AL_2_3_A_TRANSP_ENC</vt:lpstr>
      <vt:lpstr>SERVENTES!AL_2_3_A_TRANSP_SERV</vt:lpstr>
      <vt:lpstr>ENCARREGADOS!AL_2_3_B_AUX_ALIMENT_ENC</vt:lpstr>
      <vt:lpstr>SERVENTES!AL_2_3_B_AUX_ALIMENT_SERV</vt:lpstr>
      <vt:lpstr>ENCARREGADOS!AL_2_3_C_OUTROS_BENEF_1_ENC</vt:lpstr>
      <vt:lpstr>SERVENTES!AL_2_3_C_OUTROS_BENEF_1_SERV</vt:lpstr>
      <vt:lpstr>ENCARREGADOS!AL_2_A_ATE_2_G_GPS_ENC</vt:lpstr>
      <vt:lpstr>SERVENTES!AL_2_A_ATE_2_G_GPS_SERV</vt:lpstr>
      <vt:lpstr>ENCARREGADOS!AL_6_A_CUSTOS_INDIRETOS_ENC</vt:lpstr>
      <vt:lpstr>SERVENTES!AL_6_A_CUSTOS_INDIRETOS_SERV</vt:lpstr>
      <vt:lpstr>JARDINEIRO!AL_6_A_CUSTOS_INDIRETOS_SERV_HOSP</vt:lpstr>
      <vt:lpstr>ENCARREGADOS!AL_6_B_LUCRO_ENC</vt:lpstr>
      <vt:lpstr>SERVENTES!AL_6_B_LUCRO_SERV</vt:lpstr>
      <vt:lpstr>JARDINEIRO!AL_6_B_LUCRO_SERV_HOSP</vt:lpstr>
      <vt:lpstr>ENCARREGADOS!AL_6_C_1_PIS_ENC</vt:lpstr>
      <vt:lpstr>SERVENTES!AL_6_C_1_PIS_SERV</vt:lpstr>
      <vt:lpstr>ENCARREGADOS!AL_6_C_2_COFINS_ENC</vt:lpstr>
      <vt:lpstr>SERVENTES!AL_6_C_2_COFINS_SERV</vt:lpstr>
      <vt:lpstr>ENCARREGADOS!AL_6_C_3_ISS_ENC</vt:lpstr>
      <vt:lpstr>SERVENTES!AL_6_C_3_ISS_SERV</vt:lpstr>
      <vt:lpstr>ENCARREGADOS!AL_6_C_TRIBUTOS_ENC</vt:lpstr>
      <vt:lpstr>SERVENTES!AL_6_C_TRIBUTOS_SERV</vt:lpstr>
      <vt:lpstr>JARDINEIRO!AL_6_C_TRIBUTOS_SERV_HOSP</vt:lpstr>
      <vt:lpstr>ALIMENTACAO_POR_DIA</vt:lpstr>
      <vt:lpstr>AREA_ESQ_EXTERNA_ANEXOS</vt:lpstr>
      <vt:lpstr>AREA_ESQ_EXTERNA_PTMS_PRMS</vt:lpstr>
      <vt:lpstr>AREA_ESQ_EXTERNA_SEDE</vt:lpstr>
      <vt:lpstr>AREA_ESQ_EXTERNA_TOTAL</vt:lpstr>
      <vt:lpstr>AREA_EXTERNA_ANEXOS</vt:lpstr>
      <vt:lpstr>AREA_EXTERNA_PTMS_PRMS</vt:lpstr>
      <vt:lpstr>AREA_EXTERNA_SEDE</vt:lpstr>
      <vt:lpstr>AREA_EXTERNA_TOTAL</vt:lpstr>
      <vt:lpstr>AREA_FACHADA_ENVID_ANEXOS</vt:lpstr>
      <vt:lpstr>AREA_FACHADA_ENVID_PTMS_PRMS</vt:lpstr>
      <vt:lpstr>AREA_FACHADA_ENVID_SEDE</vt:lpstr>
      <vt:lpstr>AREA_FACHADA_ENVID_TOTAL</vt:lpstr>
      <vt:lpstr>AREA_INTERNA_ANEXOS</vt:lpstr>
      <vt:lpstr>AREA_INTERNA_PTMS_PRMS</vt:lpstr>
      <vt:lpstr>AREA_INTERNA_SEDE</vt:lpstr>
      <vt:lpstr>AREA_INTERNA_TOTAL</vt:lpstr>
      <vt:lpstr>AREA_MED_HOSP_ANEXOS</vt:lpstr>
      <vt:lpstr>AREA_MED_HOSP_PTMS_PRMS</vt:lpstr>
      <vt:lpstr>AREA_MED_HOSP_SEDE</vt:lpstr>
      <vt:lpstr>AREA_MED_HOSP_TOTAL</vt:lpstr>
      <vt:lpstr>CARGA_HORARIA_SEMANAL</vt:lpstr>
      <vt:lpstr>CATEGORIA_PROFISSIONAL_ENC</vt:lpstr>
      <vt:lpstr>CATEGORIA_PROFISSIONAL_SERV</vt:lpstr>
      <vt:lpstr>CATEGORIA_PROFISSIONAL_SERV_HOSP</vt:lpstr>
      <vt:lpstr>CBO</vt:lpstr>
      <vt:lpstr>COEF_KI_ESQ_EXTERNA_ENC</vt:lpstr>
      <vt:lpstr>COEF_KI_ESQ_EXTERNA_SERV</vt:lpstr>
      <vt:lpstr>COEF_KI_FACHADA_ENVID_ENC</vt:lpstr>
      <vt:lpstr>COEF_KI_FACHADA_ENVID_SERV</vt:lpstr>
      <vt:lpstr>CUSTO_M2_AREA_EXTERNA</vt:lpstr>
      <vt:lpstr>CUSTO_M2_AREA_EXTERNA_ENC</vt:lpstr>
      <vt:lpstr>CUSTO_M2_AREA_EXTERNA_SERV</vt:lpstr>
      <vt:lpstr>CUSTO_M2_AREA_HOSPITALAR_ENC</vt:lpstr>
      <vt:lpstr>CUSTO_M2_AREA_HOSPITALAR_SERV</vt:lpstr>
      <vt:lpstr>CUSTO_M2_AREA_INTERNA</vt:lpstr>
      <vt:lpstr>CUSTO_M2_AREA_INTERNA_ENC</vt:lpstr>
      <vt:lpstr>CUSTO_M2_AREA_INTERNA_SERV</vt:lpstr>
      <vt:lpstr>CUSTO_M2_AREA_MED_HOSP</vt:lpstr>
      <vt:lpstr>CUSTO_M2_ESQ_EXTERNA</vt:lpstr>
      <vt:lpstr>CUSTO_M2_ESQ_EXTERNA_ENC</vt:lpstr>
      <vt:lpstr>CUSTO_M2_ESQ_EXTERNA_SERV</vt:lpstr>
      <vt:lpstr>CUSTO_M2_FACHADA_ENVID</vt:lpstr>
      <vt:lpstr>CUSTO_M2_FACHADA_ENVID_ENC</vt:lpstr>
      <vt:lpstr>CUSTO_M2_FACHADA_ENVID_SERV</vt:lpstr>
      <vt:lpstr>DATA_APRESENTACAO_PROPOSTA</vt:lpstr>
      <vt:lpstr>DATA_BASE_CATEGORIA</vt:lpstr>
      <vt:lpstr>DATA_DO_ORCAMENTO_ESTIMATIVO</vt:lpstr>
      <vt:lpstr>DATA_LICITACAO</vt:lpstr>
      <vt:lpstr>DIAS_AUSENCIAS_LEGAIS</vt:lpstr>
      <vt:lpstr>DIAS_LICENCA_MATERNIDADE</vt:lpstr>
      <vt:lpstr>DIAS_LICENCA_PATERNIDADE</vt:lpstr>
      <vt:lpstr>DIAS_NA_SEMANA</vt:lpstr>
      <vt:lpstr>DIAS_NO_ANO</vt:lpstr>
      <vt:lpstr>DIAS_NO_MES</vt:lpstr>
      <vt:lpstr>DIAS_PAGOS_EMPRESA_ACID_TRAB</vt:lpstr>
      <vt:lpstr>DIAS_TRABALHADOS_NO_MES</vt:lpstr>
      <vt:lpstr>DIVISOR_DE_HORAS</vt:lpstr>
      <vt:lpstr>ENCARREGADO_DE_LIMPEZA</vt:lpstr>
      <vt:lpstr>EQUIPAMENTOS</vt:lpstr>
      <vt:lpstr>FREQ_ESQ_EXTERNA</vt:lpstr>
      <vt:lpstr>FREQ_FACHADA_ENVID</vt:lpstr>
      <vt:lpstr>HORA_NORMAL</vt:lpstr>
      <vt:lpstr>HORARIO_LICITACAO</vt:lpstr>
      <vt:lpstr>JORNADA_MES_ESQ_EXTERNA_ENC</vt:lpstr>
      <vt:lpstr>JORNADA_MES_ESQ_EXTERNA_SERV</vt:lpstr>
      <vt:lpstr>JORNADA_MES_FACHADA_ENVID_ENC</vt:lpstr>
      <vt:lpstr>JORNADA_MES_FACHADA_ENVID_SERV</vt:lpstr>
      <vt:lpstr>LOCAL_DE_EXECUCAO</vt:lpstr>
      <vt:lpstr>MATERIAIS</vt:lpstr>
      <vt:lpstr>MEDIA_ANUAL_DIAS_TRABALHO_MES</vt:lpstr>
      <vt:lpstr>MESES_NO_ANO</vt:lpstr>
      <vt:lpstr>MESES_NO_SEMESTRE</vt:lpstr>
      <vt:lpstr>ENCARREGADOS!MOD_1_REMUNERACAO_ENC</vt:lpstr>
      <vt:lpstr>SERVENTES!MOD_1_REMUNERACAO_SERV</vt:lpstr>
      <vt:lpstr>JARDINEIRO!MOD_1_REMUNERACAO_SERV_HOSP</vt:lpstr>
      <vt:lpstr>ENCARREGADOS!MOD_3_PROVISAO_RESCISAO_ENC</vt:lpstr>
      <vt:lpstr>SERVENTES!MOD_3_PROVISAO_RESCISAO_SERV</vt:lpstr>
      <vt:lpstr>JARDINEIRO!MOD_3_PROVISAO_RESCISAO_SERV_HOSP</vt:lpstr>
      <vt:lpstr>ENCARREGADOS!MOD_5_INSUMOS_ENC</vt:lpstr>
      <vt:lpstr>SERVENTES!MOD_5_INSUMOS_SERV</vt:lpstr>
      <vt:lpstr>JARDINEIRO!MOD_5_INSUMOS_SERV_HOSP</vt:lpstr>
      <vt:lpstr>ENCARREGADOS!MOD_6_CUSTOS_IND_LUCRO_TRIB_ENC</vt:lpstr>
      <vt:lpstr>SERVENTES!MOD_6_CUSTOS_IND_LUCRO_TRIB_SERV</vt:lpstr>
      <vt:lpstr>JARDINEIRO!MOD_6_CUSTOS_IND_LUCRO_TRIB_SERV_HOSP</vt:lpstr>
      <vt:lpstr>MODALIDADE_DE_LICITACAO</vt:lpstr>
      <vt:lpstr>NUMERO_MESES_EXEC_CONTRATUAL</vt:lpstr>
      <vt:lpstr>NUMERO_PREGAO</vt:lpstr>
      <vt:lpstr>NUMERO_PROCESSO</vt:lpstr>
      <vt:lpstr>OUTRAS_AUSENCIAS</vt:lpstr>
      <vt:lpstr>OUTRAS_AUSENCIAS_DESCRICAO</vt:lpstr>
      <vt:lpstr>OUTROS_BENEFICIOS_1</vt:lpstr>
      <vt:lpstr>OUTROS_BENEFICIOS_1_DESCRICAO</vt:lpstr>
      <vt:lpstr>OUTROS_BENEFICIOS_2</vt:lpstr>
      <vt:lpstr>OUTROS_BENEFICIOS_2_DESCRICAO</vt:lpstr>
      <vt:lpstr>OUTROS_BENEFICIOS_3</vt:lpstr>
      <vt:lpstr>OUTROS_BENEFICIOS_3_DESCRICAO</vt:lpstr>
      <vt:lpstr>OUTROS_INSUMOS</vt:lpstr>
      <vt:lpstr>OUTROS_INSUMOS_DESCRICAO</vt:lpstr>
      <vt:lpstr>OUTROS_REMUNERACAO_1</vt:lpstr>
      <vt:lpstr>OUTROS_REMUNERACAO_1_DESCRICAO</vt:lpstr>
      <vt:lpstr>OUTROS_REMUNERACAO_2</vt:lpstr>
      <vt:lpstr>OUTROS_REMUNERACAO_2_DESCRICAO</vt:lpstr>
      <vt:lpstr>OUTROS_REMUNERACAO_3</vt:lpstr>
      <vt:lpstr>OUTROS_REMUNERACAO_3_DESCRICAO</vt:lpstr>
      <vt:lpstr>PERC_ADIC_FERIAS</vt:lpstr>
      <vt:lpstr>PERC_ADIC_INSALUB</vt:lpstr>
      <vt:lpstr>PERC_AVISO_PREVIO_IND</vt:lpstr>
      <vt:lpstr>PERC_AVISO_PREVIO_TRAB</vt:lpstr>
      <vt:lpstr>PERC_COFINS</vt:lpstr>
      <vt:lpstr>PERC_CUSTOS_INDIRETOS</vt:lpstr>
      <vt:lpstr>PERC_DEC_TERC</vt:lpstr>
      <vt:lpstr>PERC_DESC_TRANSP_REMUNERACAO</vt:lpstr>
      <vt:lpstr>PERC_EMPREG_AFAST_TRAB</vt:lpstr>
      <vt:lpstr>PERC_EMPREG_AVISO_PREVIO_IND</vt:lpstr>
      <vt:lpstr>PERC_EMPREG_AVISO_PREVIO_TRAB</vt:lpstr>
      <vt:lpstr>PERC_EMPREG_DEMIT_SEM_JUSTA_CAUSA_TOTAL_DESLIG</vt:lpstr>
      <vt:lpstr>PERC_FGTS</vt:lpstr>
      <vt:lpstr>PERC_GPS_FGTS</vt:lpstr>
      <vt:lpstr>PERC_HORA_EXTRA</vt:lpstr>
      <vt:lpstr>PERC_INCRA</vt:lpstr>
      <vt:lpstr>PERC_INSS</vt:lpstr>
      <vt:lpstr>PERC_ISS</vt:lpstr>
      <vt:lpstr>PERC_LUCRO</vt:lpstr>
      <vt:lpstr>ENCARREGADOS!PERC_MOD_3_PROVISAO_RESCISAO</vt:lpstr>
      <vt:lpstr>SERVENTES!PERC_MOD_3_PROVISAO_RESCISAO</vt:lpstr>
      <vt:lpstr>PERC_MULTA_FGTS</vt:lpstr>
      <vt:lpstr>PERC_MULTA_FGTS_AV_PREV_TRAB</vt:lpstr>
      <vt:lpstr>PERC_NASCIDOS_VIVOS_POPUL_FEM</vt:lpstr>
      <vt:lpstr>PERC_PARTIC_FEM_VIGIL</vt:lpstr>
      <vt:lpstr>PERC_PARTIC_MASC_VIGIL</vt:lpstr>
      <vt:lpstr>PERC_PIS</vt:lpstr>
      <vt:lpstr>PERC_RAT</vt:lpstr>
      <vt:lpstr>PERC_SAL_EDUCACAO</vt:lpstr>
      <vt:lpstr>PERC_SEBRAE</vt:lpstr>
      <vt:lpstr>PERC_SENAC</vt:lpstr>
      <vt:lpstr>PERC_SESC</vt:lpstr>
      <vt:lpstr>PERC_SUBSTITUTO_ACID_TRAB</vt:lpstr>
      <vt:lpstr>PERC_SUBSTITUTO_AFAST_MATERN</vt:lpstr>
      <vt:lpstr>PERC_SUBSTITUTO_AUSENCIAS_LEGAIS</vt:lpstr>
      <vt:lpstr>PERC_SUBSTITUTO_FERIAS</vt:lpstr>
      <vt:lpstr>PERC_SUBSTITUTO_LICENCA_PATERNIDADE</vt:lpstr>
      <vt:lpstr>PERC_SUBSTITUTO_OUTRAS_AUSENCIAS</vt:lpstr>
      <vt:lpstr>ENCARREGADOS!PERC_TRIBUTOS</vt:lpstr>
      <vt:lpstr>JARDINEIRO!PERC_TRIBUTOS</vt:lpstr>
      <vt:lpstr>SERVENTES!PERC_TRIBUTOS</vt:lpstr>
      <vt:lpstr>PORTARIA_LIMITES</vt:lpstr>
      <vt:lpstr>PRODUT_AREA_ESQ_EXTERNA</vt:lpstr>
      <vt:lpstr>PRODUT_AREA_EXTERNA</vt:lpstr>
      <vt:lpstr>PRODUT_AREA_FACHADA_ENVID</vt:lpstr>
      <vt:lpstr>PRODUT_AREA_HOSPITALAR</vt:lpstr>
      <vt:lpstr>PRODUT_AREA_INTERNA</vt:lpstr>
      <vt:lpstr>QTDE_DE_ENC</vt:lpstr>
      <vt:lpstr>QTDE_DE_SERV</vt:lpstr>
      <vt:lpstr>QTDE_DE_SERV_HOSP</vt:lpstr>
      <vt:lpstr>QTDE_ESTIMADA_SERVENTES</vt:lpstr>
      <vt:lpstr>RAMO</vt:lpstr>
      <vt:lpstr>RELACAO_SERVENTES_ENCARREGADOS</vt:lpstr>
      <vt:lpstr>SAL_MINIMO</vt:lpstr>
      <vt:lpstr>SALARIO_NORMATIVO_ENC</vt:lpstr>
      <vt:lpstr>SALARIO_NORMATIVO_SERV</vt:lpstr>
      <vt:lpstr>SALARIO_NORMATIVO_SERV_HOSP</vt:lpstr>
      <vt:lpstr>SERVENTE</vt:lpstr>
      <vt:lpstr>SERVENTE_AREA_HOSPITALAR</vt:lpstr>
      <vt:lpstr>ENCARREGADOS!SUBMOD_2_1_DEC_TERC_ADIC_FERIAS_ENC</vt:lpstr>
      <vt:lpstr>SERVENTES!SUBMOD_2_1_DEC_TERC_ADIC_FERIAS_SERV</vt:lpstr>
      <vt:lpstr>JARDINEIRO!SUBMOD_2_1_DEC_TERC_ADIC_FERIAS_SERV_HOSP</vt:lpstr>
      <vt:lpstr>ENCARREGADOS!SUBMOD_2_2_GPS_FGTS_ENC</vt:lpstr>
      <vt:lpstr>SERVENTES!SUBMOD_2_2_GPS_FGTS_SERV</vt:lpstr>
      <vt:lpstr>JARDINEIRO!SUBMOD_2_2_GPS_FGTS_SERV_HOSP</vt:lpstr>
      <vt:lpstr>ENCARREGADOS!SUBMOD_2_3_BENEFICIOS_ENC</vt:lpstr>
      <vt:lpstr>SERVENTES!SUBMOD_2_3_BENEFICIOS_SERV</vt:lpstr>
      <vt:lpstr>JARDINEIRO!SUBMOD_2_3_BENEFICIOS_SERV_HOSP</vt:lpstr>
      <vt:lpstr>ENCARREGADOS!SUBMOD_4_1_SUBSTITUTO_ENC</vt:lpstr>
      <vt:lpstr>SERVENTES!SUBMOD_4_1_SUBSTITUTO_SERV</vt:lpstr>
      <vt:lpstr>ENCARREGADOS!SUBMOD_4_2_INTRAJORNADA_ENC</vt:lpstr>
      <vt:lpstr>SERVENTES!SUBMOD_4_2_INTRAJORNADA_SERV</vt:lpstr>
      <vt:lpstr>TEMPO_INTERVALO_REFEICAO</vt:lpstr>
      <vt:lpstr>TIPO_DE_SERVICO</vt:lpstr>
      <vt:lpstr>TRANSPORTE_POR_DIA</vt:lpstr>
      <vt:lpstr>UF</vt:lpstr>
      <vt:lpstr>UG</vt:lpstr>
      <vt:lpstr>UNIFORMES</vt:lpstr>
      <vt:lpstr>VALOR_LIMITE_CONTRATACAO_POR_AREA</vt:lpstr>
      <vt:lpstr>VALOR_LIMITES_AREA_EXTERNA</vt:lpstr>
      <vt:lpstr>VALOR_LIMITES_AREA_INTERNA</vt:lpstr>
      <vt:lpstr>VALOR_LIMITES_ESQ_EXTERNA</vt:lpstr>
      <vt:lpstr>VALOR_LIMITES_FACHADA_ENVID</vt:lpstr>
      <vt:lpstr>ENCARREGADOS!VALOR_TOTAL_ENC</vt:lpstr>
      <vt:lpstr>ENCARREGADOS!VALOR_TOTAL_SERV</vt:lpstr>
      <vt:lpstr>VALOR_TOTAL_SERV</vt:lpstr>
      <vt:lpstr>SERVENTES!VALOR_TOTAL_SERV_HOSP</vt:lpstr>
      <vt:lpstr>VALOR_TOTAL_SERV_HOSP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Felipe Flores da Silva</dc:creator>
  <cp:keywords/>
  <dc:description/>
  <cp:lastModifiedBy>Flávia Estefânia Borges Tegoshi</cp:lastModifiedBy>
  <cp:revision/>
  <dcterms:created xsi:type="dcterms:W3CDTF">2014-02-07T18:14:59Z</dcterms:created>
  <dcterms:modified xsi:type="dcterms:W3CDTF">2025-03-11T21:39:13Z</dcterms:modified>
  <cp:category/>
  <cp:contentStatus/>
</cp:coreProperties>
</file>