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W:\SA_CLCE\CLCE 2025\PREGÕES ELETRÔNICOS\PE 01\"/>
    </mc:Choice>
  </mc:AlternateContent>
  <xr:revisionPtr revIDLastSave="0" documentId="8_{8F6E9DB5-411D-4081-A357-57CD90F0B491}" xr6:coauthVersionLast="47" xr6:coauthVersionMax="47" xr10:uidLastSave="{00000000-0000-0000-0000-000000000000}"/>
  <bookViews>
    <workbookView xWindow="-120" yWindow="-120" windowWidth="29040" windowHeight="15840" tabRatio="899" firstSheet="7" activeTab="7" xr2:uid="{00000000-000D-0000-FFFF-FFFF00000000}"/>
  </bookViews>
  <sheets>
    <sheet name="INSERÇÃO-DE-DADOS" sheetId="11" r:id="rId1"/>
    <sheet name="DADOS-ESTATISTICOS" sheetId="14" r:id="rId2"/>
    <sheet name="ENCARGOS-SOCIAIS-E-TRABALHISTAS" sheetId="12" r:id="rId3"/>
    <sheet name="POSTO 12x36 HORAS - DIURNO" sheetId="16" r:id="rId4"/>
    <sheet name="POSTO 12x36 HORAS - NOTURNO" sheetId="17" r:id="rId5"/>
    <sheet name="POSTO 44 HORAS" sheetId="18" r:id="rId6"/>
    <sheet name="SUPERVISÃO 44 HORAS" sheetId="15" r:id="rId7"/>
    <sheet name="QUADRO-RESUMO" sheetId="10" r:id="rId8"/>
    <sheet name="LIMITES-SEGES" sheetId="13" state="hidden" r:id="rId9"/>
  </sheets>
  <definedNames>
    <definedName name="ACORDO_COLETIVO">'INSERÇÃO-DE-DADOS'!$F$14</definedName>
    <definedName name="AL_1_A_SAL_BASE_12X36_DIU">#REF!</definedName>
    <definedName name="AL_1_A_SAL_BASE_12X36_NOT">#REF!</definedName>
    <definedName name="AL_1_A_SAL_BASE_44H">#REF!</definedName>
    <definedName name="AL_1_B_ADIC_PERIC_12X36_DIU">#REF!</definedName>
    <definedName name="AL_1_B_ADIC_PERIC_12X36_NOT">#REF!</definedName>
    <definedName name="AL_1_B_ADIC_PERIC_44H">#REF!</definedName>
    <definedName name="AL_1_C_ADIC_NOT_12X36_NOT">#REF!</definedName>
    <definedName name="AL_1_D_ADIC_NOT_RED_12X36_NOT">#REF!</definedName>
    <definedName name="AL_1_E_OUTROS_REM_12X36_NOT">#REF!</definedName>
    <definedName name="AL_2_1_A_DEC_TERC_12X36_DIU">#REF!</definedName>
    <definedName name="AL_2_1_A_DEC_TERC_12X36_NOT">#REF!</definedName>
    <definedName name="AL_2_1_B_ADIC_FERIAS_12X36_DIU">#REF!</definedName>
    <definedName name="AL_2_1_B_ADIC_FERIAS_12X36_NOT">#REF!</definedName>
    <definedName name="AL_2_2_FGTS_12X36_DIU">#REF!</definedName>
    <definedName name="AL_2_2_FGTS_12X36_NOT">#REF!</definedName>
    <definedName name="AL_2_2_FGTS_44H">#REF!</definedName>
    <definedName name="AL_2_3_A_TRANSP_12X36_DIU">#REF!</definedName>
    <definedName name="AL_2_3_A_TRANSP_12X36_NOT">#REF!</definedName>
    <definedName name="AL_2_3_A_TRANSP_44H">#REF!</definedName>
    <definedName name="AL_2_3_B_AUX_ALIMENT_12X36_DIU">#REF!</definedName>
    <definedName name="AL_2_3_B_AUX_ALIMENT_12X36_NOT">#REF!</definedName>
    <definedName name="AL_2_3_B_AUX_ALIMENT_44H">#REF!</definedName>
    <definedName name="AL_2_3_C_OUTROS_BENEF_12X36_DIU">#REF!</definedName>
    <definedName name="AL_2_3_C_OUTROS_BENEF_12X36_NOT">#REF!</definedName>
    <definedName name="AL_2_A_ATE_2_G_GPS_12X36_NOT">#REF!</definedName>
    <definedName name="AL_6_A_CUSTOS_INDIRETOS_12X36_DIU">#REF!</definedName>
    <definedName name="AL_6_A_CUSTOS_INDIRETOS_12X36_NOT">#REF!</definedName>
    <definedName name="AL_6_A_CUSTOS_INDIRETOS_44H">#REF!</definedName>
    <definedName name="AL_6_B_LUCRO_12X36_DIU">#REF!</definedName>
    <definedName name="AL_6_B_LUCRO_12X36_NOT">#REF!</definedName>
    <definedName name="AL_6_B_LUCRO_44H">#REF!</definedName>
    <definedName name="AL_6_C_1_PIS_12X36_DIU">#REF!</definedName>
    <definedName name="AL_6_C_1_PIS_12X36_NOT">#REF!</definedName>
    <definedName name="AL_6_C_1_PIS_44H">#REF!</definedName>
    <definedName name="AL_6_C_2_COFINS_12X36_DIU">#REF!</definedName>
    <definedName name="AL_6_C_2_COFINS_12X36_NOT">#REF!</definedName>
    <definedName name="AL_6_C_2_COFINS_44H">#REF!</definedName>
    <definedName name="AL_6_C_3_ISS_12X36_DIU">#REF!</definedName>
    <definedName name="AL_6_C_3_ISS_12X36_NOT">#REF!</definedName>
    <definedName name="AL_6_C_3_ISS_44H">#REF!</definedName>
    <definedName name="AL_6_C_TRIBUTOS_12X36_DIU">#REF!</definedName>
    <definedName name="AL_6_C_TRIBUTOS_12X36_NOT">#REF!</definedName>
    <definedName name="AL_6_C_TRIBUTOS_44H">#REF!</definedName>
    <definedName name="ALIMENTACAO_POR_DIA">'INSERÇÃO-DE-DADOS'!$F$45</definedName>
    <definedName name="CATEGORIA_PROFISSIONAL">'INSERÇÃO-DE-DADOS'!$D$27</definedName>
    <definedName name="CBO">'INSERÇÃO-DE-DADOS'!$D$26</definedName>
    <definedName name="DATA_APRESENTACAO_PROPOSTA">'INSERÇÃO-DE-DADOS'!$F$11</definedName>
    <definedName name="DATA_BASE_CATEGORIA">'INSERÇÃO-DE-DADOS'!$F$28</definedName>
    <definedName name="DATA_DO_ORCAMENTO_ESTIMATIVO">'INSERÇÃO-DE-DADOS'!$F$2</definedName>
    <definedName name="DATA_LICITACAO">'INSERÇÃO-DE-DADOS'!$D$8</definedName>
    <definedName name="DIAS_AUSENCIAS_LEGAIS">'DADOS-ESTATISTICOS'!$F$29</definedName>
    <definedName name="DIAS_LICENCA_MATERNIDADE">'DADOS-ESTATISTICOS'!$F$35</definedName>
    <definedName name="DIAS_LICENCA_PATERNIDADE">'DADOS-ESTATISTICOS'!$F$30</definedName>
    <definedName name="DIAS_NA_SEMANA">'DADOS-ESTATISTICOS'!$F$5</definedName>
    <definedName name="DIAS_NO_ANO">'DADOS-ESTATISTICOS'!$F$6</definedName>
    <definedName name="DIAS_NO_MES">'DADOS-ESTATISTICOS'!$F$24</definedName>
    <definedName name="DIAS_PAGOS_EMPRESA_ACID_TRAB">'DADOS-ESTATISTICOS'!$F$34</definedName>
    <definedName name="DIAS_TRABALHADOS_NO_MES_12X36">'DADOS-ESTATISTICOS'!$F$15</definedName>
    <definedName name="DIAS_UTEIS_TRABALHADOS_NO_MES_44HORAS">'DADOS-ESTATISTICOS'!$F$16</definedName>
    <definedName name="DIVISOR_DE_HORAS">'DADOS-ESTATISTICOS'!$F$4</definedName>
    <definedName name="EMPREG_POR_POSTO_12X36_DIU">#REF!</definedName>
    <definedName name="EMPREG_POR_POSTO_12X36_NOT">#REF!</definedName>
    <definedName name="EMPREG_POR_POSTO_44H">#REF!</definedName>
    <definedName name="EQUIPAMENTOS">'INSERÇÃO-DE-DADOS'!$F$64</definedName>
    <definedName name="HORA_NORMAL">'DADOS-ESTATISTICOS'!$F$9</definedName>
    <definedName name="HORA_NOTURNA">'DADOS-ESTATISTICOS'!$F$10</definedName>
    <definedName name="HORARIO_LICITACAO">'INSERÇÃO-DE-DADOS'!$F$8</definedName>
    <definedName name="LOCAL_DE_EXECUCAO">'INSERÇÃO-DE-DADOS'!$D$12</definedName>
    <definedName name="MATERIAIS">'INSERÇÃO-DE-DADOS'!$F$63</definedName>
    <definedName name="MEDIA_ANUAL_DIAS_TRABALHO_MES">'DADOS-ESTATISTICOS'!$F$7</definedName>
    <definedName name="MESES_NO_ANO">'DADOS-ESTATISTICOS'!$F$8</definedName>
    <definedName name="MOD_1_REMUNERACAO_12X36_DIU">#REF!</definedName>
    <definedName name="MOD_1_REMUNERACAO_12X36_NOT">#REF!</definedName>
    <definedName name="MOD_1_REMUNERACAO_44H">#REF!</definedName>
    <definedName name="MOD_2_ENCARGOS_BENEFICIOS_12X36_DIU">#REF!+#REF!+#REF!</definedName>
    <definedName name="MOD_2_ENCARGOS_BENEFICIOS_12X36_NOT">#REF!+#REF!+#REF!</definedName>
    <definedName name="MOD_2_ENCARGOS_BENEFICIOS_44H">#REF!+#REF!+#REF!</definedName>
    <definedName name="MOD_3_PROVISAO_RESCISAO_12X36_DIU">#REF!</definedName>
    <definedName name="MOD_3_PROVISAO_RESCISAO_12X36_NOT">#REF!</definedName>
    <definedName name="MOD_3_PROVISAO_RESCISAO_44H">#REF!</definedName>
    <definedName name="MOD_4_CUSTO_REPOSICAO_12X36_DIU">#REF!+#REF!</definedName>
    <definedName name="MOD_4_CUSTO_REPOSICAO_12X36_NOT">#REF!+#REF!</definedName>
    <definedName name="MOD_4_CUSTO_REPOSICAO_44H">#REF!+#REF!</definedName>
    <definedName name="MOD_5_INSUMOS_12X36_DIU">#REF!</definedName>
    <definedName name="MOD_5_INSUMOS_12X36_NOT">#REF!</definedName>
    <definedName name="MOD_5_INSUMOS_44H">#REF!</definedName>
    <definedName name="MOD_6_CUSTOS_IND_LUCRO_TRIB_12X36_DIU">#REF!</definedName>
    <definedName name="MOD_6_CUSTOS_IND_LUCRO_TRIB_12X36_NOT">#REF!</definedName>
    <definedName name="MOD_6_CUSTOS_IND_LUCRO_TRIB_44H">#REF!</definedName>
    <definedName name="MODALIDADE_DE_LICITACAO">'INSERÇÃO-DE-DADOS'!$D$7</definedName>
    <definedName name="NUMERO_MESES_EXEC_CONTRATUAL">'INSERÇÃO-DE-DADOS'!$F$15</definedName>
    <definedName name="NUMERO_PREGAO">'INSERÇÃO-DE-DADOS'!$F$7</definedName>
    <definedName name="NUMERO_PROCESSO">'INSERÇÃO-DE-DADOS'!$D$6</definedName>
    <definedName name="OUTRAS_AUSENCIAS">'ENCARGOS-SOCIAIS-E-TRABALHISTAS'!$E$31</definedName>
    <definedName name="OUTRAS_AUSENCIAS_DESCRICAO">'INSERÇÃO-DE-DADOS'!$C$53</definedName>
    <definedName name="OUTROS_BENEFICIOS_1">'INSERÇÃO-DE-DADOS'!$F$46</definedName>
    <definedName name="OUTROS_BENEFICIOS_1_DESCRICAO">'INSERÇÃO-DE-DADOS'!$C$46</definedName>
    <definedName name="OUTROS_BENEFICIOS_2">'INSERÇÃO-DE-DADOS'!$F$47</definedName>
    <definedName name="OUTROS_BENEFICIOS_2_DESCRICAO">'INSERÇÃO-DE-DADOS'!$C$47</definedName>
    <definedName name="OUTROS_BENEFICIOS_3">'INSERÇÃO-DE-DADOS'!$F$48</definedName>
    <definedName name="OUTROS_BENEFICIOS_3_DESCRICAO">'INSERÇÃO-DE-DADOS'!$C$48</definedName>
    <definedName name="OUTROS_INSUMOS">'INSERÇÃO-DE-DADOS'!$F$65</definedName>
    <definedName name="OUTROS_INSUMOS_DESCRICAO">'INSERÇÃO-DE-DADOS'!$C$65</definedName>
    <definedName name="OUTROS_REMUNERACAO_1">'INSERÇÃO-DE-DADOS'!$F$38</definedName>
    <definedName name="OUTROS_REMUNERACAO_1_DESCRICAO">'INSERÇÃO-DE-DADOS'!$C$38:$E$38</definedName>
    <definedName name="OUTROS_REMUNERACAO_2">'INSERÇÃO-DE-DADOS'!$F$39</definedName>
    <definedName name="OUTROS_REMUNERACAO_2_DESCRICAO">'INSERÇÃO-DE-DADOS'!$C$39:$E$39</definedName>
    <definedName name="OUTROS_REMUNERACAO_3">'INSERÇÃO-DE-DADOS'!$F$40</definedName>
    <definedName name="OUTROS_REMUNERACAO_3_DESCRICAO">'INSERÇÃO-DE-DADOS'!$C$40:$E$40</definedName>
    <definedName name="PERC_ADIC_FERIAS">'ENCARGOS-SOCIAIS-E-TRABALHISTAS'!$E$6</definedName>
    <definedName name="PERC_ADIC_NOT">'INSERÇÃO-DE-DADOS'!$F$37</definedName>
    <definedName name="PERC_ADIC_PERIC">'INSERÇÃO-DE-DADOS'!$F$36</definedName>
    <definedName name="PERC_AVISO_PREVIO_IND">'ENCARGOS-SOCIAIS-E-TRABALHISTAS'!$E$20</definedName>
    <definedName name="PERC_AVISO_PREVIO_TRAB">'ENCARGOS-SOCIAIS-E-TRABALHISTAS'!$E$21</definedName>
    <definedName name="PERC_COFINS">'INSERÇÃO-DE-DADOS'!$F$72</definedName>
    <definedName name="PERC_CONTRIB_SOCIAL">'DADOS-ESTATISTICOS'!#REF!</definedName>
    <definedName name="PERC_CUSTOS_INDIRETOS">'INSERÇÃO-DE-DADOS'!$F$69</definedName>
    <definedName name="PERC_DEC_TERC">'ENCARGOS-SOCIAIS-E-TRABALHISTAS'!$E$5</definedName>
    <definedName name="PERC_DESC_TRANSP_REMUNERACAO">'DADOS-ESTATISTICOS'!$F$14</definedName>
    <definedName name="PERC_EMPREG_AFAST_TRAB">'DADOS-ESTATISTICOS'!$F$33</definedName>
    <definedName name="PERC_EMPREG_AVISO_PREVIO_IND">'DADOS-ESTATISTICOS'!$F$21</definedName>
    <definedName name="PERC_EMPREG_AVISO_PREVIO_TRAB">'DADOS-ESTATISTICOS'!$F$23</definedName>
    <definedName name="PERC_EMPREG_DEMIT_SEM_JUSTA_CAUSA_TOTAL_DESLIG">'DADOS-ESTATISTICOS'!$F$20</definedName>
    <definedName name="PERC_FGTS">'ENCARGOS-SOCIAIS-E-TRABALHISTAS'!$E$16</definedName>
    <definedName name="PERC_FGTS_AVISO_PREV_IND">'ENCARGOS-SOCIAIS-E-TRABALHISTAS'!#REF!</definedName>
    <definedName name="PERC_GPS_FGTS">'ENCARGOS-SOCIAIS-E-TRABALHISTAS'!$E$17</definedName>
    <definedName name="PERC_GPS_FGTS_AVISO_PREVIO_TRAB">'ENCARGOS-SOCIAIS-E-TRABALHISTAS'!#REF!</definedName>
    <definedName name="PERC_HORA_EXTRA">'INSERÇÃO-DE-DADOS'!$F$57</definedName>
    <definedName name="PERC_INCRA">'ENCARGOS-SOCIAIS-E-TRABALHISTAS'!$E$15</definedName>
    <definedName name="PERC_INSS">'ENCARGOS-SOCIAIS-E-TRABALHISTAS'!$E$9</definedName>
    <definedName name="PERC_ISS">'INSERÇÃO-DE-DADOS'!$F$73</definedName>
    <definedName name="PERC_LUCRO">'INSERÇÃO-DE-DADOS'!$F$70</definedName>
    <definedName name="PERC_MOD_3_PROVISAO_RESCISAO">#REF!</definedName>
    <definedName name="PERC_MULTA_FGTS">'DADOS-ESTATISTICOS'!$F$22</definedName>
    <definedName name="PERC_MULTA_FGTS_AV_PREV_IND">'ENCARGOS-SOCIAIS-E-TRABALHISTAS'!#REF!</definedName>
    <definedName name="PERC_MULTA_FGTS_AV_PREV_TRAB">'ENCARGOS-SOCIAIS-E-TRABALHISTAS'!$E$22</definedName>
    <definedName name="PERC_NASCIDOS_VIVOS_POPUL_FEM">'DADOS-ESTATISTICOS'!$F$31</definedName>
    <definedName name="PERC_PARTIC_FEM_VIGIL">'DADOS-ESTATISTICOS'!$F$36</definedName>
    <definedName name="PERC_PARTIC_MASC_VIGIL">'DADOS-ESTATISTICOS'!$F$32</definedName>
    <definedName name="PERC_PIS">'INSERÇÃO-DE-DADOS'!$F$71</definedName>
    <definedName name="PERC_RAT">'ENCARGOS-SOCIAIS-E-TRABALHISTAS'!$E$11</definedName>
    <definedName name="PERC_SAL_EDUCACAO">'ENCARGOS-SOCIAIS-E-TRABALHISTAS'!$E$10</definedName>
    <definedName name="PERC_SEBRAE">'ENCARGOS-SOCIAIS-E-TRABALHISTAS'!$E$14</definedName>
    <definedName name="PERC_SENAC">'ENCARGOS-SOCIAIS-E-TRABALHISTAS'!$E$13</definedName>
    <definedName name="PERC_SESC">'ENCARGOS-SOCIAIS-E-TRABALHISTAS'!$E$12</definedName>
    <definedName name="PERC_SUBSTITUTO_ACID_TRAB">'ENCARGOS-SOCIAIS-E-TRABALHISTAS'!$E$29</definedName>
    <definedName name="PERC_SUBSTITUTO_AFAST_MATERN">'ENCARGOS-SOCIAIS-E-TRABALHISTAS'!$E$30</definedName>
    <definedName name="PERC_SUBSTITUTO_AUSENCIAS_LEGAIS">'ENCARGOS-SOCIAIS-E-TRABALHISTAS'!$E$27</definedName>
    <definedName name="PERC_SUBSTITUTO_FERIAS">'ENCARGOS-SOCIAIS-E-TRABALHISTAS'!$E$26</definedName>
    <definedName name="PERC_SUBSTITUTO_LICENCA_PATERNIDADE">'ENCARGOS-SOCIAIS-E-TRABALHISTAS'!$E$28</definedName>
    <definedName name="PERC_SUBSTITUTO_OUTRAS_AUSENCIAS">'INSERÇÃO-DE-DADOS'!$F$53</definedName>
    <definedName name="PERC_TRIBUTOS">#REF!</definedName>
    <definedName name="POSTO_12X36_DIU">'INSERÇÃO-DE-DADOS'!$C$19</definedName>
    <definedName name="POSTO_12X36_NOT">'INSERÇÃO-DE-DADOS'!$C$20</definedName>
    <definedName name="POSTO_44H">'INSERÇÃO-DE-DADOS'!$C$21</definedName>
    <definedName name="QTDE_DE_POSTOS_12X36_DIU">'INSERÇÃO-DE-DADOS'!$F$19</definedName>
    <definedName name="QTDE_DE_POSTOS_12X36_NOT">'INSERÇÃO-DE-DADOS'!$F$20</definedName>
    <definedName name="QTDE_DE_POSTOS_44H">'INSERÇÃO-DE-DADOS'!$F$21</definedName>
    <definedName name="RAMO">'INSERÇÃO-DE-DADOS'!$B$1</definedName>
    <definedName name="SALARIO_BASE">'INSERÇÃO-DE-DADOS'!$F$34</definedName>
    <definedName name="SUBMOD_2_1_DEC_TERC_ADIC_FERIAS_12X36_DIU">#REF!</definedName>
    <definedName name="SUBMOD_2_1_DEC_TERC_ADIC_FERIAS_12X36_NOT">#REF!</definedName>
    <definedName name="SUBMOD_2_1_DEC_TERC_ADIC_FERIAS_44H">#REF!</definedName>
    <definedName name="SUBMOD_2_2_GPS_FGTS_12X36_DIU">#REF!</definedName>
    <definedName name="SUBMOD_2_2_GPS_FGTS_12X36_NOT">#REF!</definedName>
    <definedName name="SUBMOD_2_2_GPS_FGTS_44H">#REF!</definedName>
    <definedName name="SUBMOD_2_3_BENEFICIOS_12X36_DIU">#REF!</definedName>
    <definedName name="SUBMOD_2_3_BENEFICIOS_12X36_NOT">#REF!</definedName>
    <definedName name="SUBMOD_2_3_BENEFICIOS_44H">#REF!</definedName>
    <definedName name="SUBMOD_4_1_AUSENCIAS_LEGAIS_44H">#REF!</definedName>
    <definedName name="SUBMOD_4_1_SUBSTITUTO_12X36_DIU">#REF!</definedName>
    <definedName name="SUBMOD_4_1_SUBSTITUTO_12X36_NOT">#REF!</definedName>
    <definedName name="SUBMOD_4_1_SUBSTITUTO_44H">#REF!</definedName>
    <definedName name="SUBMOD_4_2_INTRAJORNADA_12X36_DIU">#REF!</definedName>
    <definedName name="SUBMOD_4_2_INTRAJORNADA_12X36_NOT">#REF!</definedName>
    <definedName name="SUBMOD_4_2_INTRAJORNADA_44H">#REF!</definedName>
    <definedName name="TEMPO_INTERVALO_REFEICAO">'INSERÇÃO-DE-DADOS'!$F$58</definedName>
    <definedName name="TIPO_DE_SERVICO">'INSERÇÃO-DE-DADOS'!$E$25</definedName>
    <definedName name="TRANSPORTE_POR_DIA">'INSERÇÃO-DE-DADOS'!$F$44</definedName>
    <definedName name="UG">'INSERÇÃO-DE-DADOS'!$B$2</definedName>
    <definedName name="UNIFORMES">'INSERÇÃO-DE-DADOS'!$F$62</definedName>
    <definedName name="VALOR_TOTAL_EMPREGADO_12x36_DIU">#REF!</definedName>
    <definedName name="VALOR_TOTAL_EMPREGADO_12x36_NOT">#REF!</definedName>
    <definedName name="VALOR_TOTAL_EMPREGADO_44H">#REF!</definedName>
    <definedName name="VALOR_TOTAL_POSTO_12x36_DIU">#REF!</definedName>
    <definedName name="VALOR_TOTAL_POSTO_12x36_NOT">#REF!</definedName>
    <definedName name="VALOR_TOTAL_POSTO_44H">#REF!</definedName>
  </definedNames>
  <calcPr calcId="191028" fullPrecision="0"/>
  <customWorkbookViews>
    <customWorkbookView name="teste" guid="{E22B0E03-E710-4313-B9E5-0BFE52A7E677}" maximized="1" xWindow="-8" yWindow="-8" windowWidth="1936" windowHeight="1056" tabRatio="899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0" l="1"/>
  <c r="F20" i="10"/>
  <c r="E19" i="10"/>
  <c r="E20" i="10"/>
  <c r="D19" i="10"/>
  <c r="D20" i="10"/>
  <c r="F26" i="10"/>
  <c r="E26" i="10"/>
  <c r="D26" i="10"/>
  <c r="F8" i="10"/>
  <c r="F7" i="10"/>
  <c r="F6" i="10"/>
  <c r="F96" i="15"/>
  <c r="F95" i="15"/>
  <c r="F94" i="15"/>
  <c r="F93" i="15"/>
  <c r="F72" i="15"/>
  <c r="F71" i="15"/>
  <c r="F55" i="15"/>
  <c r="F107" i="18"/>
  <c r="F105" i="18"/>
  <c r="F104" i="18"/>
  <c r="F103" i="18"/>
  <c r="F102" i="18"/>
  <c r="F101" i="18"/>
  <c r="F100" i="18"/>
  <c r="F96" i="18"/>
  <c r="F95" i="18"/>
  <c r="F94" i="18"/>
  <c r="F93" i="18"/>
  <c r="F91" i="18"/>
  <c r="F90" i="18"/>
  <c r="F72" i="18"/>
  <c r="F71" i="18"/>
  <c r="F70" i="18"/>
  <c r="F69" i="18"/>
  <c r="F68" i="18"/>
  <c r="F67" i="18"/>
  <c r="F61" i="18"/>
  <c r="F60" i="18"/>
  <c r="F59" i="18"/>
  <c r="F46" i="18"/>
  <c r="F45" i="18"/>
  <c r="F44" i="18"/>
  <c r="F43" i="18"/>
  <c r="F42" i="18"/>
  <c r="F41" i="18"/>
  <c r="F40" i="18"/>
  <c r="F39" i="18"/>
  <c r="F35" i="18"/>
  <c r="F34" i="18"/>
  <c r="F36" i="18" s="1"/>
  <c r="F103" i="17"/>
  <c r="F101" i="17"/>
  <c r="F100" i="17"/>
  <c r="F99" i="17"/>
  <c r="F98" i="17"/>
  <c r="F97" i="17"/>
  <c r="F96" i="17"/>
  <c r="F93" i="17"/>
  <c r="F92" i="17"/>
  <c r="F91" i="17"/>
  <c r="F90" i="17"/>
  <c r="F88" i="17"/>
  <c r="F87" i="17"/>
  <c r="F74" i="17"/>
  <c r="F75" i="17" s="1"/>
  <c r="F70" i="17"/>
  <c r="F69" i="17"/>
  <c r="F68" i="17"/>
  <c r="F67" i="17"/>
  <c r="F66" i="17"/>
  <c r="F65" i="17"/>
  <c r="F59" i="17"/>
  <c r="F58" i="17"/>
  <c r="F57" i="17"/>
  <c r="F65" i="16"/>
  <c r="F49" i="17"/>
  <c r="F45" i="17"/>
  <c r="F44" i="17"/>
  <c r="F43" i="17"/>
  <c r="F42" i="17"/>
  <c r="F41" i="17"/>
  <c r="F40" i="17"/>
  <c r="F39" i="17"/>
  <c r="F38" i="17"/>
  <c r="F34" i="17"/>
  <c r="F33" i="17"/>
  <c r="F25" i="17"/>
  <c r="F29" i="17"/>
  <c r="F24" i="17"/>
  <c r="F100" i="16"/>
  <c r="F98" i="16"/>
  <c r="F97" i="16"/>
  <c r="F96" i="16"/>
  <c r="F87" i="16"/>
  <c r="F71" i="16"/>
  <c r="F99" i="16" s="1"/>
  <c r="F70" i="16"/>
  <c r="F69" i="16"/>
  <c r="F68" i="16"/>
  <c r="F67" i="16"/>
  <c r="F66" i="16"/>
  <c r="F59" i="16"/>
  <c r="F58" i="16"/>
  <c r="F57" i="16"/>
  <c r="F49" i="16"/>
  <c r="F101" i="15"/>
  <c r="E95" i="18"/>
  <c r="E94" i="18"/>
  <c r="E93" i="18"/>
  <c r="E92" i="18" s="1"/>
  <c r="F92" i="18"/>
  <c r="E91" i="18"/>
  <c r="E90" i="18"/>
  <c r="F85" i="18"/>
  <c r="C85" i="18"/>
  <c r="F84" i="18"/>
  <c r="F83" i="18"/>
  <c r="F86" i="18" s="1"/>
  <c r="F82" i="18"/>
  <c r="F78" i="18"/>
  <c r="E72" i="18"/>
  <c r="C72" i="18"/>
  <c r="E71" i="18"/>
  <c r="E70" i="18"/>
  <c r="E69" i="18"/>
  <c r="E68" i="18"/>
  <c r="E67" i="18"/>
  <c r="E61" i="18"/>
  <c r="E60" i="18"/>
  <c r="F62" i="18"/>
  <c r="E59" i="18"/>
  <c r="F54" i="18"/>
  <c r="C54" i="18"/>
  <c r="F53" i="18"/>
  <c r="C53" i="18"/>
  <c r="F52" i="18"/>
  <c r="C52" i="18"/>
  <c r="F51" i="18"/>
  <c r="F55" i="18" s="1"/>
  <c r="F50" i="18"/>
  <c r="E35" i="18"/>
  <c r="E34" i="18"/>
  <c r="F28" i="18"/>
  <c r="C28" i="18"/>
  <c r="F27" i="18"/>
  <c r="C27" i="18"/>
  <c r="F26" i="18"/>
  <c r="C26" i="18"/>
  <c r="F25" i="18"/>
  <c r="F24" i="18"/>
  <c r="F29" i="18" s="1"/>
  <c r="F18" i="18"/>
  <c r="D17" i="18"/>
  <c r="D16" i="18"/>
  <c r="E15" i="18"/>
  <c r="F12" i="18"/>
  <c r="F11" i="18"/>
  <c r="F10" i="18"/>
  <c r="D9" i="18"/>
  <c r="F8" i="18"/>
  <c r="F6" i="18"/>
  <c r="D6" i="18"/>
  <c r="D5" i="18"/>
  <c r="F2" i="18"/>
  <c r="B2" i="18"/>
  <c r="B1" i="18"/>
  <c r="F102" i="17"/>
  <c r="E92" i="17"/>
  <c r="E91" i="17"/>
  <c r="E89" i="17" s="1"/>
  <c r="E90" i="17"/>
  <c r="E88" i="17"/>
  <c r="E87" i="17"/>
  <c r="F82" i="17"/>
  <c r="F83" i="17" s="1"/>
  <c r="C82" i="17"/>
  <c r="F81" i="17"/>
  <c r="F80" i="17"/>
  <c r="F79" i="17"/>
  <c r="E70" i="17"/>
  <c r="C70" i="17"/>
  <c r="E69" i="17"/>
  <c r="E68" i="17"/>
  <c r="E67" i="17"/>
  <c r="E66" i="17"/>
  <c r="E65" i="17"/>
  <c r="E59" i="17"/>
  <c r="E58" i="17"/>
  <c r="E57" i="17"/>
  <c r="F53" i="17"/>
  <c r="C53" i="17"/>
  <c r="F52" i="17"/>
  <c r="C52" i="17"/>
  <c r="F51" i="17"/>
  <c r="C51" i="17"/>
  <c r="F50" i="17"/>
  <c r="F54" i="17"/>
  <c r="E45" i="17"/>
  <c r="E44" i="17"/>
  <c r="E43" i="17"/>
  <c r="E42" i="17"/>
  <c r="E41" i="17"/>
  <c r="E40" i="17"/>
  <c r="E39" i="17"/>
  <c r="E38" i="17"/>
  <c r="E34" i="17"/>
  <c r="E33" i="17"/>
  <c r="F28" i="17"/>
  <c r="C28" i="17"/>
  <c r="F27" i="17"/>
  <c r="C27" i="17"/>
  <c r="F26" i="17"/>
  <c r="C26" i="17"/>
  <c r="F23" i="17"/>
  <c r="F22" i="17"/>
  <c r="F17" i="17"/>
  <c r="D16" i="17"/>
  <c r="D15" i="17"/>
  <c r="E14" i="17"/>
  <c r="F12" i="17"/>
  <c r="F11" i="17"/>
  <c r="F10" i="17"/>
  <c r="D9" i="17"/>
  <c r="F8" i="17"/>
  <c r="F6" i="17"/>
  <c r="D6" i="17"/>
  <c r="D5" i="17"/>
  <c r="F2" i="17"/>
  <c r="B2" i="17"/>
  <c r="B1" i="17"/>
  <c r="F45" i="16"/>
  <c r="F44" i="16"/>
  <c r="F43" i="16"/>
  <c r="F42" i="16"/>
  <c r="F41" i="16"/>
  <c r="F40" i="16"/>
  <c r="F39" i="16"/>
  <c r="F38" i="16"/>
  <c r="F34" i="16"/>
  <c r="F33" i="16"/>
  <c r="F73" i="18" l="1"/>
  <c r="F89" i="17"/>
  <c r="F71" i="17"/>
  <c r="F88" i="16"/>
  <c r="F91" i="16" s="1"/>
  <c r="F92" i="16"/>
  <c r="F47" i="18"/>
  <c r="F46" i="17"/>
  <c r="F35" i="17"/>
  <c r="E92" i="16"/>
  <c r="E91" i="16"/>
  <c r="E90" i="16"/>
  <c r="E89" i="16" s="1"/>
  <c r="E88" i="16"/>
  <c r="E87" i="16"/>
  <c r="F82" i="16"/>
  <c r="C82" i="16"/>
  <c r="F81" i="16"/>
  <c r="F80" i="16"/>
  <c r="F83" i="16" s="1"/>
  <c r="F79" i="16"/>
  <c r="F75" i="16"/>
  <c r="E70" i="16"/>
  <c r="C70" i="16"/>
  <c r="E69" i="16"/>
  <c r="E68" i="16"/>
  <c r="E67" i="16"/>
  <c r="E66" i="16"/>
  <c r="E65" i="16"/>
  <c r="F60" i="16"/>
  <c r="E59" i="16"/>
  <c r="E58" i="16"/>
  <c r="E57" i="16"/>
  <c r="F53" i="16"/>
  <c r="C53" i="16"/>
  <c r="F52" i="16"/>
  <c r="C52" i="16"/>
  <c r="F51" i="16"/>
  <c r="C51" i="16"/>
  <c r="F50" i="16"/>
  <c r="F46" i="16"/>
  <c r="E45" i="16"/>
  <c r="E44" i="16"/>
  <c r="E43" i="16"/>
  <c r="E42" i="16"/>
  <c r="E41" i="16"/>
  <c r="E40" i="16"/>
  <c r="E39" i="16"/>
  <c r="E38" i="16"/>
  <c r="E34" i="16"/>
  <c r="F35" i="16"/>
  <c r="E33" i="16"/>
  <c r="F28" i="16"/>
  <c r="C28" i="16"/>
  <c r="F27" i="16"/>
  <c r="C27" i="16"/>
  <c r="F26" i="16"/>
  <c r="C26" i="16"/>
  <c r="F25" i="16"/>
  <c r="F24" i="16"/>
  <c r="F29" i="16" s="1"/>
  <c r="F18" i="16"/>
  <c r="D17" i="16"/>
  <c r="D16" i="16"/>
  <c r="E15" i="16"/>
  <c r="F12" i="16"/>
  <c r="F11" i="16"/>
  <c r="F10" i="16"/>
  <c r="D9" i="16"/>
  <c r="F8" i="16"/>
  <c r="F6" i="16"/>
  <c r="D6" i="16"/>
  <c r="D5" i="16"/>
  <c r="F2" i="16"/>
  <c r="B2" i="16"/>
  <c r="B1" i="16"/>
  <c r="E10" i="10"/>
  <c r="G25" i="10"/>
  <c r="G20" i="10"/>
  <c r="F18" i="10"/>
  <c r="G18" i="10"/>
  <c r="C9" i="10"/>
  <c r="E9" i="10"/>
  <c r="C8" i="10"/>
  <c r="D9" i="10"/>
  <c r="F104" i="15"/>
  <c r="F100" i="15"/>
  <c r="F61" i="15"/>
  <c r="F60" i="15"/>
  <c r="F59" i="15"/>
  <c r="F50" i="15"/>
  <c r="F47" i="15"/>
  <c r="F46" i="15"/>
  <c r="F45" i="15"/>
  <c r="F44" i="15"/>
  <c r="F43" i="15"/>
  <c r="F42" i="15"/>
  <c r="F41" i="15"/>
  <c r="F40" i="15"/>
  <c r="F39" i="15"/>
  <c r="F36" i="15"/>
  <c r="F35" i="15"/>
  <c r="F29" i="15"/>
  <c r="F34" i="15" s="1"/>
  <c r="F24" i="15"/>
  <c r="F12" i="15"/>
  <c r="F90" i="16" l="1"/>
  <c r="F89" i="16" s="1"/>
  <c r="F93" i="16" s="1"/>
  <c r="F101" i="16" s="1"/>
  <c r="F102" i="16" s="1"/>
  <c r="F103" i="16" s="1"/>
  <c r="F54" i="16"/>
  <c r="D5" i="15"/>
  <c r="E95" i="15"/>
  <c r="E94" i="15"/>
  <c r="E93" i="15"/>
  <c r="E91" i="15"/>
  <c r="E90" i="15"/>
  <c r="F85" i="15"/>
  <c r="C85" i="15"/>
  <c r="F84" i="15"/>
  <c r="F83" i="15"/>
  <c r="F86" i="15" s="1"/>
  <c r="F82" i="15"/>
  <c r="E72" i="15"/>
  <c r="C72" i="15"/>
  <c r="E71" i="15"/>
  <c r="E70" i="15"/>
  <c r="E69" i="15"/>
  <c r="E68" i="15"/>
  <c r="E67" i="15"/>
  <c r="E61" i="15"/>
  <c r="E60" i="15"/>
  <c r="E59" i="15"/>
  <c r="F54" i="15"/>
  <c r="C54" i="15"/>
  <c r="F53" i="15"/>
  <c r="C53" i="15"/>
  <c r="F52" i="15"/>
  <c r="C52" i="15"/>
  <c r="F51" i="15"/>
  <c r="E35" i="15"/>
  <c r="E34" i="15"/>
  <c r="F28" i="15"/>
  <c r="C28" i="15"/>
  <c r="F27" i="15"/>
  <c r="C27" i="15"/>
  <c r="F26" i="15"/>
  <c r="C26" i="15"/>
  <c r="F25" i="15"/>
  <c r="F18" i="15"/>
  <c r="D17" i="15"/>
  <c r="D16" i="15"/>
  <c r="E15" i="15"/>
  <c r="F11" i="15"/>
  <c r="F10" i="15"/>
  <c r="D9" i="15"/>
  <c r="F8" i="15"/>
  <c r="F6" i="15"/>
  <c r="D6" i="15"/>
  <c r="F2" i="15"/>
  <c r="B2" i="15"/>
  <c r="B1" i="15"/>
  <c r="E22" i="12"/>
  <c r="E92" i="15" l="1"/>
  <c r="F41" i="14"/>
  <c r="F40" i="14"/>
  <c r="E8" i="10" l="1"/>
  <c r="E7" i="10"/>
  <c r="E6" i="10" l="1"/>
  <c r="E21" i="12" l="1"/>
  <c r="E20" i="12"/>
  <c r="F33" i="14" l="1"/>
  <c r="D25" i="10" l="1"/>
  <c r="D7" i="10"/>
  <c r="D8" i="10"/>
  <c r="D6" i="10"/>
  <c r="E31" i="12" l="1"/>
  <c r="C31" i="12"/>
  <c r="C7" i="10" l="1"/>
  <c r="D33" i="13" l="1"/>
  <c r="E33" i="13"/>
  <c r="F33" i="13"/>
  <c r="G33" i="13"/>
  <c r="H33" i="13"/>
  <c r="C33" i="13"/>
  <c r="C32" i="13"/>
  <c r="C34" i="13" s="1"/>
  <c r="D32" i="13"/>
  <c r="D34" i="13" s="1"/>
  <c r="E32" i="13"/>
  <c r="E34" i="13" s="1"/>
  <c r="F32" i="13"/>
  <c r="F34" i="13" s="1"/>
  <c r="G32" i="13"/>
  <c r="G34" i="13" s="1"/>
  <c r="H32" i="13"/>
  <c r="H34" i="13" s="1"/>
  <c r="C6" i="10" l="1"/>
  <c r="E18" i="10"/>
  <c r="D18" i="10"/>
  <c r="F25" i="10"/>
  <c r="E25" i="10"/>
  <c r="G2" i="13"/>
  <c r="E2" i="13"/>
  <c r="C2" i="13"/>
  <c r="F2" i="10" l="1"/>
  <c r="B2" i="10"/>
  <c r="B1" i="10"/>
  <c r="E5" i="12"/>
  <c r="E6" i="12"/>
  <c r="E26" i="12"/>
  <c r="E27" i="12"/>
  <c r="E28" i="12"/>
  <c r="E29" i="12"/>
  <c r="E71" i="11"/>
  <c r="E72" i="11"/>
  <c r="E73" i="11"/>
  <c r="E17" i="12" l="1"/>
  <c r="E30" i="12" l="1"/>
  <c r="F62" i="15" l="1"/>
  <c r="F69" i="15" l="1"/>
  <c r="F68" i="15"/>
  <c r="F67" i="15"/>
  <c r="F78" i="15"/>
  <c r="F102" i="15"/>
  <c r="F70" i="15"/>
  <c r="F73" i="15" l="1"/>
  <c r="F103" i="15" l="1"/>
  <c r="G19" i="10"/>
  <c r="G21" i="10" s="1"/>
  <c r="F91" i="15"/>
  <c r="F90" i="15"/>
  <c r="F21" i="10"/>
  <c r="F92" i="15" l="1"/>
  <c r="F105" i="15" s="1"/>
  <c r="D21" i="10"/>
  <c r="E21" i="10" l="1"/>
  <c r="G6" i="10" l="1"/>
  <c r="F106" i="18" l="1"/>
  <c r="D28" i="10"/>
  <c r="D30" i="10" s="1"/>
  <c r="F106" i="15" l="1"/>
  <c r="F107" i="15" s="1"/>
  <c r="G26" i="10" l="1"/>
  <c r="F9" i="10"/>
  <c r="G9" i="10" s="1"/>
  <c r="G28" i="10" l="1"/>
  <c r="G30" i="10" s="1"/>
  <c r="F28" i="10"/>
  <c r="F30" i="10" s="1"/>
  <c r="G8" i="10"/>
  <c r="E28" i="10"/>
  <c r="G7" i="10"/>
  <c r="G10" i="10" s="1"/>
  <c r="G14" i="10" s="1"/>
  <c r="G15" i="10" s="1"/>
  <c r="E30" i="10" l="1"/>
  <c r="F60" i="17"/>
</calcChain>
</file>

<file path=xl/sharedStrings.xml><?xml version="1.0" encoding="utf-8"?>
<sst xmlns="http://schemas.openxmlformats.org/spreadsheetml/2006/main" count="974" uniqueCount="260">
  <si>
    <t>RAMO: ESCOLA SUPERIOR DO MINISTÉRIO PÚBLICO DA UNIÃO</t>
  </si>
  <si>
    <t>UNIDADE GESTORA (SIGLA): ESMPU</t>
  </si>
  <si>
    <t>DATA:</t>
  </si>
  <si>
    <t>XX/XX/20XX</t>
  </si>
  <si>
    <t>CUSTOS REFERENTES A SERVIÇOS DE VIGILÂNCIA</t>
  </si>
  <si>
    <t>Dados referentes à licitação</t>
  </si>
  <si>
    <t>Nº do Processo (X.XX.XXX.XXXXXX/XXXX-XX)</t>
  </si>
  <si>
    <t>0.01.000.1.002991/2024-69</t>
  </si>
  <si>
    <t>Modalidade de Licitação nº (XX/AAAA)</t>
  </si>
  <si>
    <t>Pregão nº</t>
  </si>
  <si>
    <t>XX/20XX</t>
  </si>
  <si>
    <t>Data / Horário</t>
  </si>
  <si>
    <t>HH:MM</t>
  </si>
  <si>
    <t>Dados referentes à contratação</t>
  </si>
  <si>
    <t>A</t>
  </si>
  <si>
    <t>Data de Apresentação da Proposta (DD/MM/AAAA)</t>
  </si>
  <si>
    <t>B</t>
  </si>
  <si>
    <t>Local de Execução (Sede, Anexo I ou II, PTM, PRM)</t>
  </si>
  <si>
    <t>Sede da ESMPU</t>
  </si>
  <si>
    <t>C</t>
  </si>
  <si>
    <t>Unidade da Federação</t>
  </si>
  <si>
    <t>DF</t>
  </si>
  <si>
    <t>D</t>
  </si>
  <si>
    <t>Acordo, Conv. ou Sentença Normativa em Dissídio Coletivo (MM/AAAA)</t>
  </si>
  <si>
    <t>01/2024</t>
  </si>
  <si>
    <t>E</t>
  </si>
  <si>
    <t>Número de Meses de Execução Contratual</t>
  </si>
  <si>
    <t>Identificação do serviço</t>
  </si>
  <si>
    <t>Item</t>
  </si>
  <si>
    <t>Tipo de Serviço</t>
  </si>
  <si>
    <t>Unidade de Medida</t>
  </si>
  <si>
    <t>Qtde Total a Contratar</t>
  </si>
  <si>
    <t>Vigilância 12x36 horas - diurno</t>
  </si>
  <si>
    <t>Posto</t>
  </si>
  <si>
    <t>Vigilância 12x36 horas - noturno</t>
  </si>
  <si>
    <t>Vigilância 44 horas semanais</t>
  </si>
  <si>
    <t>Supervisão 44 horas semanais</t>
  </si>
  <si>
    <t>Mão de obra</t>
  </si>
  <si>
    <t>Tipo de Serviço (mesmo serviço com características distintas)</t>
  </si>
  <si>
    <t>Vigilância</t>
  </si>
  <si>
    <t>Classificação Brasileira de Ocupações (CBO)</t>
  </si>
  <si>
    <t>5173-30</t>
  </si>
  <si>
    <t>Categoria Profissional (vinculada à execução contratual)</t>
  </si>
  <si>
    <t>Vigilante</t>
  </si>
  <si>
    <t>Data-Base da Categoria (DD/MM/AAAA)</t>
  </si>
  <si>
    <t>Salário Mínimo vigente no país (em R$)</t>
  </si>
  <si>
    <t>CUSTOS POR EMPREGADO</t>
  </si>
  <si>
    <t>MÓDULO 1: COMPOSIÇÃO DA REMUNERAÇÃO</t>
  </si>
  <si>
    <t>Composição da Remuneração</t>
  </si>
  <si>
    <t>Valor / %</t>
  </si>
  <si>
    <t>Salário-Base (em R$) - Vigilante</t>
  </si>
  <si>
    <t>Salário-Base (em R$) - Supervisor</t>
  </si>
  <si>
    <t>Adicional de Periculosidade (em %)</t>
  </si>
  <si>
    <t>Adicional Noturno (em %)</t>
  </si>
  <si>
    <t>Outras Remunerações 1 (Especificar)</t>
  </si>
  <si>
    <t>F</t>
  </si>
  <si>
    <t>Outras Remunerações 2 (Especificar)</t>
  </si>
  <si>
    <t>G</t>
  </si>
  <si>
    <t>Outras Remunerações 3 (Especificar)</t>
  </si>
  <si>
    <t>Submódulo 2.3 - Benefícios Mensais e Diários</t>
  </si>
  <si>
    <t>2.3</t>
  </si>
  <si>
    <t>Benefícios Mensais e Diários</t>
  </si>
  <si>
    <t>Frequência</t>
  </si>
  <si>
    <t>Valor (em R$)</t>
  </si>
  <si>
    <t>Transporte</t>
  </si>
  <si>
    <t>Diária</t>
  </si>
  <si>
    <t>Auxílio-Refeição/Alimentação</t>
  </si>
  <si>
    <t>Seguro de vida em grupo</t>
  </si>
  <si>
    <t>Mensal</t>
  </si>
  <si>
    <t>Outros Benefícios 2 (Especificar)</t>
  </si>
  <si>
    <t>Outros Benefícios 3 (Especificar)</t>
  </si>
  <si>
    <t>MÓDULO 4: CUSTO DE REPOSIÇÃO DO PROFISSIONAL AUSENTE</t>
  </si>
  <si>
    <t>Submódulo 4.1 - Substituto nas Ausências Legais</t>
  </si>
  <si>
    <t>4.1</t>
  </si>
  <si>
    <t>Substituto nas Ausências Legais</t>
  </si>
  <si>
    <t>%</t>
  </si>
  <si>
    <t>Outras Ausências (Especificar - em %)</t>
  </si>
  <si>
    <t>Submódulo 4.2 - Substituto na Intrajornada</t>
  </si>
  <si>
    <t>4.2</t>
  </si>
  <si>
    <t>Substituto na Intrajornada</t>
  </si>
  <si>
    <t>% / Minutos</t>
  </si>
  <si>
    <t>Hora Extra (em %)</t>
  </si>
  <si>
    <t>Tempo de Intervalo para Refeição (em minutos)</t>
  </si>
  <si>
    <t>MÓDULO 5: INSUMOS DIVERSOS</t>
  </si>
  <si>
    <t>Insumos Diversos</t>
  </si>
  <si>
    <t>Valor (R$)</t>
  </si>
  <si>
    <t>Uniformes</t>
  </si>
  <si>
    <t>Materiais</t>
  </si>
  <si>
    <t>Equipamentos</t>
  </si>
  <si>
    <t>Outros (Especificar)</t>
  </si>
  <si>
    <t>MÓDULO 6: CUSTOS INDIRETOS, TRIBUTOS E LUCRO</t>
  </si>
  <si>
    <t>Custos Indiretos, Tributos e Lucro</t>
  </si>
  <si>
    <t>Custos Indiretos</t>
  </si>
  <si>
    <t>Lucro</t>
  </si>
  <si>
    <t>C.1</t>
  </si>
  <si>
    <t>PIS</t>
  </si>
  <si>
    <t>C.2</t>
  </si>
  <si>
    <t>Cofins</t>
  </si>
  <si>
    <t>C.3</t>
  </si>
  <si>
    <t>ISS</t>
  </si>
  <si>
    <t>OBSERVAÇÃO</t>
  </si>
  <si>
    <t>Para mais informações, consulte o Referencial Técnico de Custos, constante da aba PUBLICAÇÕES, na página da Auditoria Interna do MPU na internet (www.auditoria.mpu.mp.br).</t>
  </si>
  <si>
    <t>DADOS ESTATÍSTICOS</t>
  </si>
  <si>
    <t>Dias / Horas / Minutos</t>
  </si>
  <si>
    <t>Divisor de Horas (em horas)</t>
  </si>
  <si>
    <t>Dias na Semana</t>
  </si>
  <si>
    <t>Dias no Ano</t>
  </si>
  <si>
    <t>Média Anual de Dias Trabalhados no Mês</t>
  </si>
  <si>
    <t xml:space="preserve">Meses no Ano </t>
  </si>
  <si>
    <t>Hora Normal (em minutos)</t>
  </si>
  <si>
    <t>Hora Noturna (em minutos)</t>
  </si>
  <si>
    <t>Dias / %</t>
  </si>
  <si>
    <t>Desconto Remuneração Transporte</t>
  </si>
  <si>
    <t>Dias Trabalhados 12 x 36 horas</t>
  </si>
  <si>
    <t>Dias Trabalhados 44 horas</t>
  </si>
  <si>
    <t>MÓDULO 3: PROVISÃO PARA RESCISÃO</t>
  </si>
  <si>
    <t>Provisão para Rescisão</t>
  </si>
  <si>
    <t>Vigilantes demitidos sem justa causa / Total de desligamentos (em %)</t>
  </si>
  <si>
    <t>Empregados que recebem aviso prévio indenizado (em %)</t>
  </si>
  <si>
    <t>Multa do FGTS (em %)</t>
  </si>
  <si>
    <t>Empregados que recebem aviso prévio trabalhado (em %)</t>
  </si>
  <si>
    <t>Dias no mês</t>
  </si>
  <si>
    <t>Dias de Ausências Legais</t>
  </si>
  <si>
    <t>Dias de Licença-Paternidade</t>
  </si>
  <si>
    <t>Nascidos Vivos / População Feminina (em %)</t>
  </si>
  <si>
    <t>Participação Masculina nos Serviços de Vigilância (em %)</t>
  </si>
  <si>
    <t>Empregados afastados por acidente de trabalho (em %)</t>
  </si>
  <si>
    <t>Dias pagos pela empresa em acidentes de trabalho</t>
  </si>
  <si>
    <t>Dias de Licença-Maternidade</t>
  </si>
  <si>
    <t>H</t>
  </si>
  <si>
    <t>Participação Feminina nos Serviços de Vigilância (em %)</t>
  </si>
  <si>
    <t>Submódulo 4.2 - Intrajornada</t>
  </si>
  <si>
    <t>Intrajornada</t>
  </si>
  <si>
    <t>Minutos / %</t>
  </si>
  <si>
    <t>ENCARGOS SOCIAIS E TRABALHISTAS</t>
  </si>
  <si>
    <t>MÓDULO 2: ENCARGOS E BENEFÍCIOS ANUAIS, MENSAIS E DIÁRIOS</t>
  </si>
  <si>
    <t>Submódulo 2.1 - 13º (décimo terceiro) Salário e Adicional de Férias</t>
  </si>
  <si>
    <t>2.1</t>
  </si>
  <si>
    <t>13º Salário e Adicional de Férias</t>
  </si>
  <si>
    <t>Memória de Cálculo</t>
  </si>
  <si>
    <t>13º Salário</t>
  </si>
  <si>
    <t>(1/12) x 100</t>
  </si>
  <si>
    <t>Adicional de Férias</t>
  </si>
  <si>
    <t>[(1/3)/12] x 100</t>
  </si>
  <si>
    <t>Submódulo 2.2 - Encargos Previdencários (GPS), Fundo de Garantia por Tempo de Serviço (FGTS) e Outras Contribuições</t>
  </si>
  <si>
    <t>2.2</t>
  </si>
  <si>
    <t>Encargos Previdenciários (GPS), Fundo de Garantia por Tempo de Serviço (FGTS) e outras contribuições</t>
  </si>
  <si>
    <t>INSS</t>
  </si>
  <si>
    <t>Salário Educação</t>
  </si>
  <si>
    <t>RAT x FAP*</t>
  </si>
  <si>
    <t>SESC</t>
  </si>
  <si>
    <t>SENAC</t>
  </si>
  <si>
    <t>SEBRAE</t>
  </si>
  <si>
    <t>INCRA</t>
  </si>
  <si>
    <t>FGTS</t>
  </si>
  <si>
    <t>TOTAL</t>
  </si>
  <si>
    <t>Aviso Prévio Indenizado</t>
  </si>
  <si>
    <t>[(62,93%) x 5,55% x (1/12)] x 100</t>
  </si>
  <si>
    <t>Aviso Prévio Trabalhado</t>
  </si>
  <si>
    <t>[(62,93%) x 94,45% x (7/30)/12] x 100</t>
  </si>
  <si>
    <t>Multa do FGTS sobre o Aviso Prévio Trabalhado</t>
  </si>
  <si>
    <t>1,16% x 40%  x 8,00% x 100</t>
  </si>
  <si>
    <t xml:space="preserve">Substituto na Cobertura de Férias </t>
  </si>
  <si>
    <t xml:space="preserve">(1/12) x 100 </t>
  </si>
  <si>
    <t>Substituto na Cobertura de Ausências Legais</t>
  </si>
  <si>
    <t>[(8/30)/12] x 100</t>
  </si>
  <si>
    <t>Substituto na Cobertura de Licença-Paternidade</t>
  </si>
  <si>
    <t>{[(20/30)/12] x 1,416% x 86,46%} x 100</t>
  </si>
  <si>
    <t>Substituto na Cobertura de Ausência por Acidente de Trabalho</t>
  </si>
  <si>
    <t>[(15/30)/12] x 0,44%} x 100</t>
  </si>
  <si>
    <t>Substituto na Cobertura de Afastamento Maternidade</t>
  </si>
  <si>
    <t>{[(180/30)/12] x 1,416% x 13,54% x 36,80%} x 100</t>
  </si>
  <si>
    <t xml:space="preserve">Para mais informações, consulte o Referencial Técnico de Custos, constante da aba PUBLICAÇÕES, na página da Auditoria Interna do MPU na internet (www.auditoria.mpu.mp.br). *FAP - Deverá estar previsto na proposta da empresa licitante e comprovada sua incidência posteriormente. </t>
  </si>
  <si>
    <t>CUSTOS REFERENTES AO POSTO 12X36 HORAS - DIURNO</t>
  </si>
  <si>
    <t>Nº do Processo</t>
  </si>
  <si>
    <t>Modalidade de Licitação</t>
  </si>
  <si>
    <t>DISCRIMINAÇÃO DOS SERVIÇOS (DADOS REFERENTES À CONTRATAÇÃO)</t>
  </si>
  <si>
    <t>Quantidade de Postos</t>
  </si>
  <si>
    <t>PLANILHA DE CUSTOS E FORMAÇÃO DE PREÇOS</t>
  </si>
  <si>
    <t>EMPREGADOS POR POSTO</t>
  </si>
  <si>
    <t>Salário-Base</t>
  </si>
  <si>
    <t>Adicional de Periculosidade</t>
  </si>
  <si>
    <t>Substituto na Cobertura de Intervalo para Repouso e Alimentação</t>
  </si>
  <si>
    <t>Tributos</t>
  </si>
  <si>
    <t>QUADRO RESUMO - CUSTO POR EMPREGADO</t>
  </si>
  <si>
    <t>MÓD.</t>
  </si>
  <si>
    <t>Mão-de-obra vinculada à execução contratual (valor por empregado)</t>
  </si>
  <si>
    <t>Valor    (R$)</t>
  </si>
  <si>
    <t>Encargos e Benefícios Anuais, Mensais e Diários</t>
  </si>
  <si>
    <t>Custo de Reposição do Profissional Ausente</t>
  </si>
  <si>
    <t>VALOR TOTAL DO EMPREGADO</t>
  </si>
  <si>
    <t>VALOR TOTAL POR POSTO</t>
  </si>
  <si>
    <t xml:space="preserve">*FAP - Deverá estar previsto na proposta da empresa licitante e comprovada sua incidência posteriormente. </t>
  </si>
  <si>
    <t>CUSTOS REFERENTES AO POSTO 12X36 HORAS - NOTURNO</t>
  </si>
  <si>
    <t>Adicional Noturno</t>
  </si>
  <si>
    <t>Adicional de Hora Noturna Reduzida (em %)</t>
  </si>
  <si>
    <t>CUSTOS REFERENTES AO POSTO 44 HORAS</t>
  </si>
  <si>
    <t>Submódulo 2.1 - 13º (décimo terceiro) Salário, Férias e Adicional de Férias</t>
  </si>
  <si>
    <t>QUADRO RESUMO - VALOR MENSAL DOS SERVIÇOS</t>
  </si>
  <si>
    <t>ITEM</t>
  </si>
  <si>
    <t>Local da Execução dos Serviços</t>
  </si>
  <si>
    <t>Qtde de postos
(A)</t>
  </si>
  <si>
    <t>Valor por posto (R$)     (B)</t>
  </si>
  <si>
    <t>Valor total do serviço (R$)          C = (AxB)</t>
  </si>
  <si>
    <t>I</t>
  </si>
  <si>
    <t>II</t>
  </si>
  <si>
    <t>III</t>
  </si>
  <si>
    <t>IV</t>
  </si>
  <si>
    <t>VALOR MENSAL DOS SERVIÇOS (I + II + III + IV)</t>
  </si>
  <si>
    <t>Quantidade de funcionários</t>
  </si>
  <si>
    <t>Custo do plano de saúde mensal por funcionário</t>
  </si>
  <si>
    <t>Custo do fundo social e odontológico mensal por funcionário</t>
  </si>
  <si>
    <t>VALOR MENSAL FINAL PARA A CONTRATAÇÃO</t>
  </si>
  <si>
    <t>QUADRO RESUMO - ENCARGOS SOCIAIS E TRABALHISTAS EFETIVOS</t>
  </si>
  <si>
    <t>Conta</t>
  </si>
  <si>
    <t>Total de Encargos Sociais e Trabalhistas (A)*</t>
  </si>
  <si>
    <t>Remuneração (B)</t>
  </si>
  <si>
    <t>Encargos Sociais e Trabalhistas Efetivos (C = A / B)</t>
  </si>
  <si>
    <t>* Submódulo 2.1 + Submódulo 2.2 + Módulo 3 + Submódulo 4.1</t>
  </si>
  <si>
    <t>LIMITES PARA CONTRATAÇÃO, CONFORME PORTARIAS SEGES/ME</t>
  </si>
  <si>
    <t>Valor do posto (em R$)</t>
  </si>
  <si>
    <t>Limite mínimo estabelecido por portaria da Seges (em R$)</t>
  </si>
  <si>
    <t>O valor estimado está ACIMA DO VALOR MÍNIMO estabelecido em portaria da Seges para a respectiva unidade da federação?</t>
  </si>
  <si>
    <t>Limite máximo estabelecido por portaria da Seges (em R$)</t>
  </si>
  <si>
    <t>O valor estimado está ABAIXO DO VALOR MÁXIMO estabelecido em portaria da Seges para a respectiva unidade da federação?</t>
  </si>
  <si>
    <t>em R$</t>
  </si>
  <si>
    <t>UF</t>
  </si>
  <si>
    <t>A PARTIR DE</t>
  </si>
  <si>
    <t>LIMITE MÍNIMO</t>
  </si>
  <si>
    <t>LIMITE MÁXIMO</t>
  </si>
  <si>
    <t>AC</t>
  </si>
  <si>
    <t>AL</t>
  </si>
  <si>
    <t>AM</t>
  </si>
  <si>
    <t>AP</t>
  </si>
  <si>
    <t>BA</t>
  </si>
  <si>
    <t>CE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</si>
  <si>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</si>
  <si>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</si>
  <si>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</si>
  <si>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</si>
  <si>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</si>
  <si>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</si>
  <si>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</si>
  <si>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</si>
  <si>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</si>
  <si>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</si>
  <si>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</si>
  <si>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</si>
  <si>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</si>
  <si>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</si>
  <si>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</si>
  <si>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</si>
  <si>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</si>
  <si>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</si>
  <si>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</si>
  <si>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</si>
  <si>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MÉDIA</t>
  </si>
  <si>
    <t>MENOR VALOR</t>
  </si>
  <si>
    <t>MAIOR VALOR</t>
  </si>
  <si>
    <t>Atualizado em 20/08/2019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</si>
</sst>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#,##0.00_ ;\-#,##0.00\ "/>
    <numFmt numFmtId="165" formatCode="#,##0.0"/>
    <numFmt numFmtId="166" formatCode="&quot;R$&quot;\ #,##0.00"/>
  </numFmts>
  <fonts count="4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Segoe UI Light"/>
      <family val="2"/>
    </font>
    <font>
      <sz val="14"/>
      <name val="Segoe UI Light"/>
      <family val="2"/>
    </font>
    <font>
      <sz val="8"/>
      <name val="Segoe UI Light"/>
      <family val="2"/>
    </font>
    <font>
      <b/>
      <sz val="11"/>
      <name val="Segoe UI Light"/>
      <family val="2"/>
    </font>
    <font>
      <sz val="10"/>
      <name val="Segoe UI Light"/>
      <family val="2"/>
    </font>
    <font>
      <b/>
      <sz val="16"/>
      <name val="Segoe UI Light"/>
      <family val="2"/>
    </font>
    <font>
      <i/>
      <sz val="10"/>
      <name val="Segoe UI Light"/>
      <family val="2"/>
    </font>
    <font>
      <b/>
      <sz val="11"/>
      <color theme="0"/>
      <name val="Segoe UI Light"/>
      <family val="2"/>
    </font>
    <font>
      <sz val="11"/>
      <color rgb="FFFF0000"/>
      <name val="Segoe UI Light"/>
      <family val="2"/>
    </font>
    <font>
      <b/>
      <sz val="16"/>
      <color theme="5" tint="-0.499984740745262"/>
      <name val="Segoe UI Light"/>
      <family val="2"/>
    </font>
    <font>
      <sz val="11"/>
      <color theme="5" tint="-0.249977111117893"/>
      <name val="Segoe UI Light"/>
      <family val="2"/>
    </font>
    <font>
      <i/>
      <sz val="10"/>
      <color theme="0"/>
      <name val="Segoe UI Light"/>
      <family val="2"/>
    </font>
    <font>
      <b/>
      <sz val="14"/>
      <color theme="5" tint="-0.249977111117893"/>
      <name val="Segoe UI Light"/>
      <family val="2"/>
    </font>
    <font>
      <b/>
      <sz val="11"/>
      <color theme="5" tint="-0.499984740745262"/>
      <name val="Segoe UI Light"/>
      <family val="2"/>
    </font>
    <font>
      <b/>
      <sz val="14"/>
      <color theme="5" tint="-0.499984740745262"/>
      <name val="Segoe UI Light"/>
      <family val="2"/>
    </font>
    <font>
      <b/>
      <sz val="12"/>
      <color theme="5" tint="-0.499984740745262"/>
      <name val="Segoe UI Light"/>
      <family val="2"/>
    </font>
    <font>
      <b/>
      <sz val="20"/>
      <color theme="5" tint="-0.249977111117893"/>
      <name val="Segoe UI Light"/>
      <family val="2"/>
    </font>
    <font>
      <b/>
      <i/>
      <sz val="10"/>
      <name val="Segoe UI Light"/>
      <family val="2"/>
    </font>
    <font>
      <i/>
      <sz val="11"/>
      <name val="Segoe UI Light"/>
      <family val="2"/>
    </font>
    <font>
      <b/>
      <sz val="10"/>
      <name val="Arial"/>
      <family val="2"/>
    </font>
    <font>
      <b/>
      <sz val="11"/>
      <color rgb="FFFFFFFF"/>
      <name val="Segoe UI Light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D55816"/>
        <bgColor indexed="64"/>
      </patternFill>
    </fill>
    <fill>
      <patternFill patternType="solid">
        <fgColor rgb="FFD55816"/>
        <bgColor indexed="26"/>
      </patternFill>
    </fill>
    <fill>
      <patternFill patternType="solid">
        <fgColor rgb="FFD55816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55816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6600"/>
        <bgColor indexed="64"/>
      </patternFill>
    </fill>
    <fill>
      <patternFill patternType="solid">
        <fgColor rgb="FFD55816"/>
        <bgColor rgb="FFD5581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rgb="FFD3D3D3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theme="0" tint="-4.9989318521683403E-2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8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276">
    <xf numFmtId="0" fontId="0" fillId="0" borderId="0" xfId="0"/>
    <xf numFmtId="0" fontId="26" fillId="27" borderId="10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center" wrapText="1"/>
    </xf>
    <xf numFmtId="4" fontId="26" fillId="27" borderId="10" xfId="0" applyNumberFormat="1" applyFont="1" applyFill="1" applyBorder="1" applyAlignment="1">
      <alignment vertical="center" wrapText="1"/>
    </xf>
    <xf numFmtId="4" fontId="26" fillId="27" borderId="10" xfId="0" applyNumberFormat="1" applyFont="1" applyFill="1" applyBorder="1" applyAlignment="1">
      <alignment horizontal="right" vertical="center" wrapText="1"/>
    </xf>
    <xf numFmtId="3" fontId="19" fillId="30" borderId="10" xfId="0" applyNumberFormat="1" applyFont="1" applyFill="1" applyBorder="1" applyAlignment="1">
      <alignment horizontal="center" vertical="center" wrapText="1"/>
    </xf>
    <xf numFmtId="4" fontId="19" fillId="30" borderId="10" xfId="0" applyNumberFormat="1" applyFont="1" applyFill="1" applyBorder="1" applyAlignment="1">
      <alignment vertical="center" wrapText="1"/>
    </xf>
    <xf numFmtId="4" fontId="19" fillId="30" borderId="10" xfId="0" applyNumberFormat="1" applyFont="1" applyFill="1" applyBorder="1" applyAlignment="1">
      <alignment horizontal="right" vertical="center" wrapText="1"/>
    </xf>
    <xf numFmtId="3" fontId="19" fillId="31" borderId="10" xfId="0" applyNumberFormat="1" applyFont="1" applyFill="1" applyBorder="1" applyAlignment="1">
      <alignment horizontal="center" vertical="center" wrapText="1"/>
    </xf>
    <xf numFmtId="4" fontId="19" fillId="31" borderId="10" xfId="0" applyNumberFormat="1" applyFont="1" applyFill="1" applyBorder="1" applyAlignment="1">
      <alignment vertical="center" wrapText="1"/>
    </xf>
    <xf numFmtId="4" fontId="19" fillId="31" borderId="10" xfId="0" applyNumberFormat="1" applyFont="1" applyFill="1" applyBorder="1" applyAlignment="1">
      <alignment horizontal="right" vertical="center" wrapText="1"/>
    </xf>
    <xf numFmtId="0" fontId="22" fillId="24" borderId="0" xfId="0" applyFont="1" applyFill="1"/>
    <xf numFmtId="0" fontId="22" fillId="25" borderId="0" xfId="0" applyFont="1" applyFill="1" applyAlignment="1">
      <alignment horizontal="left" vertical="center" wrapText="1"/>
    </xf>
    <xf numFmtId="0" fontId="19" fillId="25" borderId="0" xfId="0" applyFont="1" applyFill="1"/>
    <xf numFmtId="39" fontId="19" fillId="25" borderId="0" xfId="0" applyNumberFormat="1" applyFont="1" applyFill="1" applyAlignment="1">
      <alignment horizontal="right"/>
    </xf>
    <xf numFmtId="0" fontId="19" fillId="25" borderId="0" xfId="0" applyFont="1" applyFill="1" applyAlignment="1">
      <alignment horizontal="left" vertical="center" wrapText="1"/>
    </xf>
    <xf numFmtId="0" fontId="24" fillId="25" borderId="0" xfId="0" applyFont="1" applyFill="1" applyAlignment="1">
      <alignment horizontal="left" vertical="center"/>
    </xf>
    <xf numFmtId="0" fontId="19" fillId="25" borderId="0" xfId="0" applyFont="1" applyFill="1" applyAlignment="1">
      <alignment horizontal="center"/>
    </xf>
    <xf numFmtId="0" fontId="19" fillId="26" borderId="0" xfId="0" applyFont="1" applyFill="1"/>
    <xf numFmtId="39" fontId="22" fillId="25" borderId="0" xfId="0" applyNumberFormat="1" applyFont="1" applyFill="1" applyAlignment="1">
      <alignment horizontal="center" vertical="center" wrapText="1"/>
    </xf>
    <xf numFmtId="39" fontId="19" fillId="25" borderId="0" xfId="0" applyNumberFormat="1" applyFont="1" applyFill="1" applyAlignment="1">
      <alignment horizontal="center"/>
    </xf>
    <xf numFmtId="0" fontId="22" fillId="25" borderId="0" xfId="0" applyFont="1" applyFill="1" applyAlignment="1">
      <alignment horizontal="center" vertical="center" wrapText="1"/>
    </xf>
    <xf numFmtId="39" fontId="19" fillId="25" borderId="0" xfId="0" applyNumberFormat="1" applyFont="1" applyFill="1" applyAlignment="1">
      <alignment horizontal="center" vertical="center" wrapText="1"/>
    </xf>
    <xf numFmtId="49" fontId="19" fillId="32" borderId="10" xfId="0" applyNumberFormat="1" applyFont="1" applyFill="1" applyBorder="1" applyAlignment="1" applyProtection="1">
      <alignment horizontal="center"/>
      <protection locked="0"/>
    </xf>
    <xf numFmtId="0" fontId="26" fillId="27" borderId="10" xfId="0" applyFont="1" applyFill="1" applyBorder="1" applyAlignment="1">
      <alignment horizontal="center"/>
    </xf>
    <xf numFmtId="14" fontId="19" fillId="32" borderId="10" xfId="0" applyNumberFormat="1" applyFont="1" applyFill="1" applyBorder="1" applyAlignment="1" applyProtection="1">
      <alignment horizontal="center"/>
      <protection locked="0"/>
    </xf>
    <xf numFmtId="0" fontId="19" fillId="31" borderId="10" xfId="0" applyFont="1" applyFill="1" applyBorder="1"/>
    <xf numFmtId="0" fontId="26" fillId="25" borderId="0" xfId="0" applyFont="1" applyFill="1" applyAlignment="1">
      <alignment horizontal="center"/>
    </xf>
    <xf numFmtId="0" fontId="19" fillId="25" borderId="0" xfId="0" applyFont="1" applyFill="1" applyAlignment="1">
      <alignment horizontal="left"/>
    </xf>
    <xf numFmtId="0" fontId="30" fillId="27" borderId="10" xfId="0" applyFont="1" applyFill="1" applyBorder="1" applyAlignment="1">
      <alignment horizontal="center" vertical="center" wrapText="1"/>
    </xf>
    <xf numFmtId="39" fontId="25" fillId="31" borderId="10" xfId="0" applyNumberFormat="1" applyFont="1" applyFill="1" applyBorder="1" applyAlignment="1">
      <alignment horizontal="center" vertical="center" wrapText="1"/>
    </xf>
    <xf numFmtId="39" fontId="19" fillId="35" borderId="10" xfId="0" applyNumberFormat="1" applyFont="1" applyFill="1" applyBorder="1" applyAlignment="1" applyProtection="1">
      <alignment horizontal="right" vertical="center" wrapText="1"/>
      <protection locked="0"/>
    </xf>
    <xf numFmtId="0" fontId="31" fillId="25" borderId="0" xfId="0" applyFont="1" applyFill="1" applyAlignment="1">
      <alignment horizontal="left" vertical="center"/>
    </xf>
    <xf numFmtId="0" fontId="29" fillId="25" borderId="0" xfId="0" applyFont="1" applyFill="1" applyAlignment="1">
      <alignment horizontal="left" vertical="center" wrapText="1"/>
    </xf>
    <xf numFmtId="39" fontId="29" fillId="25" borderId="0" xfId="0" applyNumberFormat="1" applyFont="1" applyFill="1" applyAlignment="1">
      <alignment horizontal="center" vertical="center" wrapText="1"/>
    </xf>
    <xf numFmtId="39" fontId="19" fillId="31" borderId="10" xfId="0" applyNumberFormat="1" applyFont="1" applyFill="1" applyBorder="1" applyAlignment="1">
      <alignment horizontal="right" vertical="center" wrapText="1"/>
    </xf>
    <xf numFmtId="39" fontId="26" fillId="27" borderId="10" xfId="0" applyNumberFormat="1" applyFont="1" applyFill="1" applyBorder="1" applyAlignment="1">
      <alignment horizontal="right" vertical="center" wrapText="1"/>
    </xf>
    <xf numFmtId="2" fontId="19" fillId="31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4" fontId="26" fillId="36" borderId="10" xfId="0" applyNumberFormat="1" applyFont="1" applyFill="1" applyBorder="1" applyAlignment="1">
      <alignment horizontal="right" vertical="center" wrapText="1"/>
    </xf>
    <xf numFmtId="4" fontId="26" fillId="27" borderId="10" xfId="0" applyNumberFormat="1" applyFont="1" applyFill="1" applyBorder="1" applyAlignment="1">
      <alignment horizontal="right"/>
    </xf>
    <xf numFmtId="4" fontId="26" fillId="27" borderId="10" xfId="0" applyNumberFormat="1" applyFont="1" applyFill="1" applyBorder="1" applyAlignment="1">
      <alignment horizontal="right" vertical="center"/>
    </xf>
    <xf numFmtId="4" fontId="26" fillId="36" borderId="11" xfId="0" applyNumberFormat="1" applyFont="1" applyFill="1" applyBorder="1" applyAlignment="1">
      <alignment horizontal="right" vertical="center" wrapText="1"/>
    </xf>
    <xf numFmtId="0" fontId="26" fillId="27" borderId="11" xfId="0" applyFont="1" applyFill="1" applyBorder="1" applyAlignment="1">
      <alignment horizontal="center"/>
    </xf>
    <xf numFmtId="0" fontId="26" fillId="27" borderId="11" xfId="0" applyFont="1" applyFill="1" applyBorder="1" applyAlignment="1">
      <alignment horizontal="center" vertical="center" wrapText="1"/>
    </xf>
    <xf numFmtId="2" fontId="19" fillId="31" borderId="10" xfId="0" applyNumberFormat="1" applyFont="1" applyFill="1" applyBorder="1" applyAlignment="1">
      <alignment horizontal="center" vertical="center" wrapText="1"/>
    </xf>
    <xf numFmtId="39" fontId="19" fillId="31" borderId="11" xfId="0" applyNumberFormat="1" applyFont="1" applyFill="1" applyBorder="1" applyAlignment="1">
      <alignment horizontal="right" vertical="center" wrapText="1"/>
    </xf>
    <xf numFmtId="39" fontId="19" fillId="31" borderId="10" xfId="0" applyNumberFormat="1" applyFont="1" applyFill="1" applyBorder="1" applyAlignment="1">
      <alignment horizontal="center" vertical="center" wrapText="1"/>
    </xf>
    <xf numFmtId="0" fontId="26" fillId="27" borderId="11" xfId="0" applyFont="1" applyFill="1" applyBorder="1" applyAlignment="1">
      <alignment horizontal="center" vertical="center"/>
    </xf>
    <xf numFmtId="0" fontId="26" fillId="29" borderId="11" xfId="0" applyFont="1" applyFill="1" applyBorder="1" applyAlignment="1">
      <alignment horizontal="center" vertical="center" wrapText="1"/>
    </xf>
    <xf numFmtId="0" fontId="32" fillId="25" borderId="0" xfId="0" applyFont="1" applyFill="1" applyAlignment="1">
      <alignment horizontal="left"/>
    </xf>
    <xf numFmtId="0" fontId="33" fillId="25" borderId="0" xfId="0" applyFont="1" applyFill="1" applyAlignment="1">
      <alignment horizontal="left" vertical="center"/>
    </xf>
    <xf numFmtId="164" fontId="19" fillId="31" borderId="10" xfId="0" applyNumberFormat="1" applyFont="1" applyFill="1" applyBorder="1" applyAlignment="1">
      <alignment horizontal="center" vertical="center" wrapText="1"/>
    </xf>
    <xf numFmtId="2" fontId="19" fillId="31" borderId="11" xfId="0" applyNumberFormat="1" applyFont="1" applyFill="1" applyBorder="1" applyAlignment="1">
      <alignment horizontal="center" vertical="center"/>
    </xf>
    <xf numFmtId="2" fontId="19" fillId="31" borderId="11" xfId="0" applyNumberFormat="1" applyFont="1" applyFill="1" applyBorder="1" applyAlignment="1">
      <alignment horizontal="center" vertical="center" wrapText="1"/>
    </xf>
    <xf numFmtId="0" fontId="19" fillId="37" borderId="10" xfId="0" applyFont="1" applyFill="1" applyBorder="1"/>
    <xf numFmtId="4" fontId="19" fillId="37" borderId="10" xfId="0" applyNumberFormat="1" applyFont="1" applyFill="1" applyBorder="1" applyAlignment="1">
      <alignment horizontal="right" vertical="center" wrapText="1"/>
    </xf>
    <xf numFmtId="39" fontId="19" fillId="37" borderId="10" xfId="0" applyNumberFormat="1" applyFont="1" applyFill="1" applyBorder="1" applyAlignment="1">
      <alignment horizontal="right" vertical="center" wrapText="1"/>
    </xf>
    <xf numFmtId="2" fontId="19" fillId="37" borderId="10" xfId="0" applyNumberFormat="1" applyFont="1" applyFill="1" applyBorder="1" applyAlignment="1">
      <alignment horizontal="center" vertical="center" wrapText="1"/>
    </xf>
    <xf numFmtId="39" fontId="19" fillId="37" borderId="11" xfId="0" applyNumberFormat="1" applyFont="1" applyFill="1" applyBorder="1" applyAlignment="1">
      <alignment horizontal="right" vertical="center" wrapText="1"/>
    </xf>
    <xf numFmtId="39" fontId="19" fillId="37" borderId="10" xfId="0" applyNumberFormat="1" applyFont="1" applyFill="1" applyBorder="1" applyAlignment="1">
      <alignment horizontal="center" vertical="center" wrapText="1"/>
    </xf>
    <xf numFmtId="39" fontId="25" fillId="37" borderId="10" xfId="0" applyNumberFormat="1" applyFont="1" applyFill="1" applyBorder="1" applyAlignment="1">
      <alignment horizontal="center" vertical="center" wrapText="1"/>
    </xf>
    <xf numFmtId="39" fontId="25" fillId="31" borderId="10" xfId="0" applyNumberFormat="1" applyFont="1" applyFill="1" applyBorder="1" applyAlignment="1">
      <alignment horizontal="right" vertical="center" wrapText="1"/>
    </xf>
    <xf numFmtId="39" fontId="25" fillId="37" borderId="10" xfId="0" applyNumberFormat="1" applyFont="1" applyFill="1" applyBorder="1" applyAlignment="1">
      <alignment horizontal="right" vertical="center" wrapText="1"/>
    </xf>
    <xf numFmtId="2" fontId="19" fillId="37" borderId="11" xfId="0" applyNumberFormat="1" applyFont="1" applyFill="1" applyBorder="1" applyAlignment="1">
      <alignment horizontal="center" vertical="center" wrapText="1"/>
    </xf>
    <xf numFmtId="0" fontId="26" fillId="27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justify" vertical="center" wrapText="1"/>
    </xf>
    <xf numFmtId="4" fontId="19" fillId="32" borderId="10" xfId="0" applyNumberFormat="1" applyFont="1" applyFill="1" applyBorder="1" applyAlignment="1" applyProtection="1">
      <alignment horizontal="right"/>
      <protection locked="0"/>
    </xf>
    <xf numFmtId="10" fontId="26" fillId="27" borderId="10" xfId="0" applyNumberFormat="1" applyFont="1" applyFill="1" applyBorder="1" applyAlignment="1">
      <alignment horizontal="center" vertical="center" wrapText="1"/>
    </xf>
    <xf numFmtId="166" fontId="19" fillId="30" borderId="10" xfId="0" applyNumberFormat="1" applyFont="1" applyFill="1" applyBorder="1" applyAlignment="1">
      <alignment horizontal="right" vertical="center" wrapText="1"/>
    </xf>
    <xf numFmtId="166" fontId="19" fillId="31" borderId="10" xfId="0" applyNumberFormat="1" applyFont="1" applyFill="1" applyBorder="1" applyAlignment="1">
      <alignment horizontal="right" vertical="center" wrapText="1"/>
    </xf>
    <xf numFmtId="0" fontId="19" fillId="32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3" fontId="19" fillId="30" borderId="10" xfId="0" applyNumberFormat="1" applyFont="1" applyFill="1" applyBorder="1" applyAlignment="1">
      <alignment horizontal="left" vertical="center" wrapText="1"/>
    </xf>
    <xf numFmtId="3" fontId="19" fillId="31" borderId="10" xfId="0" applyNumberFormat="1" applyFont="1" applyFill="1" applyBorder="1" applyAlignment="1">
      <alignment horizontal="left" vertical="center" wrapText="1"/>
    </xf>
    <xf numFmtId="3" fontId="19" fillId="31" borderId="10" xfId="0" applyNumberFormat="1" applyFont="1" applyFill="1" applyBorder="1" applyAlignment="1">
      <alignment horizontal="right" vertical="center" wrapText="1"/>
    </xf>
    <xf numFmtId="165" fontId="19" fillId="31" borderId="10" xfId="0" applyNumberFormat="1" applyFont="1" applyFill="1" applyBorder="1" applyAlignment="1">
      <alignment horizontal="right" vertical="center" wrapText="1"/>
    </xf>
    <xf numFmtId="3" fontId="19" fillId="37" borderId="10" xfId="0" applyNumberFormat="1" applyFont="1" applyFill="1" applyBorder="1" applyAlignment="1">
      <alignment horizontal="right" vertical="center" wrapText="1"/>
    </xf>
    <xf numFmtId="165" fontId="19" fillId="37" borderId="10" xfId="0" applyNumberFormat="1" applyFont="1" applyFill="1" applyBorder="1" applyAlignment="1">
      <alignment horizontal="right" vertical="center" wrapText="1"/>
    </xf>
    <xf numFmtId="37" fontId="19" fillId="37" borderId="10" xfId="0" applyNumberFormat="1" applyFont="1" applyFill="1" applyBorder="1" applyAlignment="1">
      <alignment horizontal="right" vertical="center" wrapText="1"/>
    </xf>
    <xf numFmtId="37" fontId="19" fillId="31" borderId="10" xfId="0" applyNumberFormat="1" applyFont="1" applyFill="1" applyBorder="1" applyAlignment="1">
      <alignment horizontal="right" vertical="center" wrapText="1"/>
    </xf>
    <xf numFmtId="0" fontId="26" fillId="28" borderId="2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  <xf numFmtId="0" fontId="19" fillId="32" borderId="13" xfId="0" applyFont="1" applyFill="1" applyBorder="1" applyAlignment="1" applyProtection="1">
      <alignment horizontal="center"/>
      <protection locked="0"/>
    </xf>
    <xf numFmtId="4" fontId="19" fillId="34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34" borderId="10" xfId="0" applyNumberFormat="1" applyFont="1" applyFill="1" applyBorder="1" applyAlignment="1" applyProtection="1">
      <alignment horizontal="right" vertical="center" wrapText="1"/>
      <protection locked="0"/>
    </xf>
    <xf numFmtId="39" fontId="19" fillId="34" borderId="10" xfId="0" applyNumberFormat="1" applyFont="1" applyFill="1" applyBorder="1" applyAlignment="1" applyProtection="1">
      <alignment horizontal="right" vertical="center" wrapText="1"/>
      <protection locked="0"/>
    </xf>
    <xf numFmtId="39" fontId="19" fillId="34" borderId="11" xfId="0" applyNumberFormat="1" applyFont="1" applyFill="1" applyBorder="1" applyAlignment="1" applyProtection="1">
      <alignment horizontal="right" vertical="center" wrapText="1"/>
      <protection locked="0"/>
    </xf>
    <xf numFmtId="14" fontId="26" fillId="27" borderId="10" xfId="0" applyNumberFormat="1" applyFont="1" applyFill="1" applyBorder="1" applyAlignment="1">
      <alignment horizontal="center" vertical="center"/>
    </xf>
    <xf numFmtId="0" fontId="33" fillId="25" borderId="0" xfId="0" applyFont="1" applyFill="1" applyAlignment="1">
      <alignment vertical="center"/>
    </xf>
    <xf numFmtId="0" fontId="20" fillId="32" borderId="13" xfId="0" applyFont="1" applyFill="1" applyBorder="1" applyProtection="1">
      <protection locked="0"/>
    </xf>
    <xf numFmtId="39" fontId="19" fillId="34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32" borderId="13" xfId="0" applyFont="1" applyFill="1" applyBorder="1" applyAlignment="1" applyProtection="1">
      <alignment horizontal="center" vertical="center" wrapText="1"/>
      <protection locked="0"/>
    </xf>
    <xf numFmtId="0" fontId="19" fillId="31" borderId="10" xfId="0" applyFont="1" applyFill="1" applyBorder="1" applyAlignment="1">
      <alignment horizontal="left" vertical="center" wrapText="1"/>
    </xf>
    <xf numFmtId="0" fontId="26" fillId="27" borderId="13" xfId="0" applyFont="1" applyFill="1" applyBorder="1" applyAlignment="1">
      <alignment horizontal="center" vertical="center"/>
    </xf>
    <xf numFmtId="0" fontId="26" fillId="27" borderId="12" xfId="0" applyFont="1" applyFill="1" applyBorder="1" applyAlignment="1">
      <alignment horizontal="center" vertical="center"/>
    </xf>
    <xf numFmtId="0" fontId="21" fillId="26" borderId="0" xfId="0" applyFont="1" applyFill="1"/>
    <xf numFmtId="0" fontId="22" fillId="24" borderId="0" xfId="0" applyFont="1" applyFill="1" applyAlignment="1">
      <alignment horizontal="left"/>
    </xf>
    <xf numFmtId="49" fontId="19" fillId="24" borderId="0" xfId="0" applyNumberFormat="1" applyFont="1" applyFill="1" applyAlignment="1">
      <alignment horizontal="center"/>
    </xf>
    <xf numFmtId="0" fontId="19" fillId="37" borderId="10" xfId="0" applyFont="1" applyFill="1" applyBorder="1" applyAlignment="1">
      <alignment horizontal="center"/>
    </xf>
    <xf numFmtId="0" fontId="21" fillId="26" borderId="0" xfId="0" applyFont="1" applyFill="1" applyAlignment="1">
      <alignment horizontal="center" vertical="center"/>
    </xf>
    <xf numFmtId="14" fontId="19" fillId="26" borderId="0" xfId="0" applyNumberFormat="1" applyFont="1" applyFill="1" applyAlignment="1">
      <alignment horizontal="center"/>
    </xf>
    <xf numFmtId="0" fontId="28" fillId="25" borderId="0" xfId="0" applyFont="1" applyFill="1"/>
    <xf numFmtId="0" fontId="27" fillId="25" borderId="0" xfId="0" applyFont="1" applyFill="1"/>
    <xf numFmtId="0" fontId="27" fillId="25" borderId="0" xfId="0" applyFont="1" applyFill="1" applyAlignment="1">
      <alignment wrapText="1"/>
    </xf>
    <xf numFmtId="0" fontId="27" fillId="25" borderId="0" xfId="0" applyFont="1" applyFill="1" applyAlignment="1">
      <alignment horizontal="center" wrapText="1"/>
    </xf>
    <xf numFmtId="0" fontId="19" fillId="25" borderId="0" xfId="0" applyFont="1" applyFill="1" applyAlignment="1">
      <alignment wrapText="1"/>
    </xf>
    <xf numFmtId="0" fontId="19" fillId="31" borderId="10" xfId="0" applyFont="1" applyFill="1" applyBorder="1" applyAlignment="1">
      <alignment horizontal="center"/>
    </xf>
    <xf numFmtId="14" fontId="20" fillId="33" borderId="13" xfId="0" applyNumberFormat="1" applyFont="1" applyFill="1" applyBorder="1" applyAlignment="1">
      <alignment horizontal="right"/>
    </xf>
    <xf numFmtId="14" fontId="20" fillId="33" borderId="13" xfId="0" applyNumberFormat="1" applyFont="1" applyFill="1" applyBorder="1"/>
    <xf numFmtId="0" fontId="23" fillId="25" borderId="0" xfId="0" applyFont="1" applyFill="1"/>
    <xf numFmtId="0" fontId="25" fillId="25" borderId="0" xfId="0" applyFont="1" applyFill="1"/>
    <xf numFmtId="37" fontId="19" fillId="37" borderId="10" xfId="0" applyNumberFormat="1" applyFont="1" applyFill="1" applyBorder="1" applyAlignment="1">
      <alignment horizontal="center"/>
    </xf>
    <xf numFmtId="2" fontId="19" fillId="33" borderId="10" xfId="0" applyNumberFormat="1" applyFont="1" applyFill="1" applyBorder="1" applyAlignment="1">
      <alignment horizontal="center"/>
    </xf>
    <xf numFmtId="14" fontId="19" fillId="38" borderId="10" xfId="0" applyNumberFormat="1" applyFont="1" applyFill="1" applyBorder="1" applyAlignment="1">
      <alignment horizontal="center"/>
    </xf>
    <xf numFmtId="2" fontId="19" fillId="38" borderId="1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24" borderId="0" xfId="0" applyFont="1" applyFill="1" applyAlignment="1">
      <alignment horizontal="left" vertical="center"/>
    </xf>
    <xf numFmtId="0" fontId="29" fillId="25" borderId="0" xfId="0" applyFont="1" applyFill="1"/>
    <xf numFmtId="0" fontId="28" fillId="25" borderId="0" xfId="0" applyFont="1" applyFill="1" applyAlignment="1">
      <alignment vertical="top"/>
    </xf>
    <xf numFmtId="0" fontId="19" fillId="25" borderId="0" xfId="0" applyFont="1" applyFill="1" applyAlignment="1">
      <alignment vertical="top"/>
    </xf>
    <xf numFmtId="0" fontId="21" fillId="26" borderId="0" xfId="0" applyFont="1" applyFill="1" applyAlignment="1">
      <alignment vertical="top"/>
    </xf>
    <xf numFmtId="0" fontId="27" fillId="25" borderId="0" xfId="0" applyFont="1" applyFill="1" applyAlignment="1">
      <alignment horizontal="left" wrapText="1"/>
    </xf>
    <xf numFmtId="164" fontId="19" fillId="25" borderId="0" xfId="0" applyNumberFormat="1" applyFont="1" applyFill="1"/>
    <xf numFmtId="49" fontId="19" fillId="38" borderId="13" xfId="0" applyNumberFormat="1" applyFont="1" applyFill="1" applyBorder="1" applyAlignment="1">
      <alignment horizontal="center" vertical="center" wrapText="1"/>
    </xf>
    <xf numFmtId="49" fontId="19" fillId="33" borderId="13" xfId="0" applyNumberFormat="1" applyFont="1" applyFill="1" applyBorder="1" applyAlignment="1">
      <alignment horizontal="center" vertical="center" wrapText="1"/>
    </xf>
    <xf numFmtId="14" fontId="19" fillId="33" borderId="10" xfId="0" applyNumberFormat="1" applyFont="1" applyFill="1" applyBorder="1" applyAlignment="1">
      <alignment horizontal="center"/>
    </xf>
    <xf numFmtId="0" fontId="20" fillId="33" borderId="13" xfId="0" applyFont="1" applyFill="1" applyBorder="1" applyAlignment="1">
      <alignment horizontal="right"/>
    </xf>
    <xf numFmtId="0" fontId="26" fillId="27" borderId="10" xfId="0" applyFont="1" applyFill="1" applyBorder="1" applyAlignment="1">
      <alignment horizontal="left" vertical="center"/>
    </xf>
    <xf numFmtId="0" fontId="19" fillId="37" borderId="10" xfId="0" applyFont="1" applyFill="1" applyBorder="1" applyAlignment="1">
      <alignment horizontal="left" vertical="center" wrapText="1"/>
    </xf>
    <xf numFmtId="8" fontId="0" fillId="0" borderId="0" xfId="0" applyNumberFormat="1" applyAlignment="1">
      <alignment horizontal="center" vertical="center"/>
    </xf>
    <xf numFmtId="8" fontId="38" fillId="0" borderId="0" xfId="0" applyNumberFormat="1" applyFont="1" applyAlignment="1">
      <alignment horizontal="center" vertical="center"/>
    </xf>
    <xf numFmtId="3" fontId="19" fillId="37" borderId="10" xfId="0" applyNumberFormat="1" applyFont="1" applyFill="1" applyBorder="1" applyAlignment="1">
      <alignment horizontal="center"/>
    </xf>
    <xf numFmtId="4" fontId="19" fillId="37" borderId="10" xfId="0" applyNumberFormat="1" applyFont="1" applyFill="1" applyBorder="1" applyAlignment="1">
      <alignment horizontal="right"/>
    </xf>
    <xf numFmtId="3" fontId="26" fillId="39" borderId="10" xfId="0" applyNumberFormat="1" applyFont="1" applyFill="1" applyBorder="1" applyAlignment="1">
      <alignment horizontal="center" vertical="center" wrapText="1"/>
    </xf>
    <xf numFmtId="4" fontId="39" fillId="40" borderId="32" xfId="0" applyNumberFormat="1" applyFont="1" applyFill="1" applyBorder="1" applyAlignment="1">
      <alignment horizontal="right" vertical="center" wrapText="1"/>
    </xf>
    <xf numFmtId="0" fontId="19" fillId="31" borderId="13" xfId="0" applyFont="1" applyFill="1" applyBorder="1" applyAlignment="1">
      <alignment horizontal="left" vertical="center" wrapText="1"/>
    </xf>
    <xf numFmtId="0" fontId="19" fillId="31" borderId="14" xfId="0" applyFont="1" applyFill="1" applyBorder="1" applyAlignment="1">
      <alignment horizontal="left" vertical="center" wrapText="1"/>
    </xf>
    <xf numFmtId="0" fontId="19" fillId="31" borderId="12" xfId="0" applyFont="1" applyFill="1" applyBorder="1" applyAlignment="1">
      <alignment horizontal="left" vertical="center" wrapText="1"/>
    </xf>
    <xf numFmtId="0" fontId="19" fillId="38" borderId="10" xfId="0" applyFont="1" applyFill="1" applyBorder="1" applyAlignment="1">
      <alignment horizontal="left"/>
    </xf>
    <xf numFmtId="0" fontId="19" fillId="32" borderId="10" xfId="0" applyFont="1" applyFill="1" applyBorder="1" applyAlignment="1" applyProtection="1">
      <alignment horizontal="right"/>
      <protection locked="0"/>
    </xf>
    <xf numFmtId="0" fontId="26" fillId="27" borderId="15" xfId="0" applyFont="1" applyFill="1" applyBorder="1" applyAlignment="1">
      <alignment horizontal="left"/>
    </xf>
    <xf numFmtId="0" fontId="19" fillId="32" borderId="10" xfId="0" applyFont="1" applyFill="1" applyBorder="1" applyAlignment="1" applyProtection="1">
      <alignment horizontal="left" vertical="center"/>
      <protection locked="0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1" borderId="10" xfId="0" applyFont="1" applyFill="1" applyBorder="1" applyAlignment="1">
      <alignment horizontal="center"/>
    </xf>
    <xf numFmtId="39" fontId="19" fillId="34" borderId="10" xfId="0" applyNumberFormat="1" applyFont="1" applyFill="1" applyBorder="1" applyAlignment="1" applyProtection="1">
      <alignment horizontal="left" vertical="center" wrapText="1"/>
      <protection locked="0"/>
    </xf>
    <xf numFmtId="0" fontId="19" fillId="37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left"/>
    </xf>
    <xf numFmtId="0" fontId="19" fillId="31" borderId="10" xfId="0" applyFont="1" applyFill="1" applyBorder="1" applyAlignment="1">
      <alignment horizontal="left"/>
    </xf>
    <xf numFmtId="39" fontId="19" fillId="37" borderId="10" xfId="0" applyNumberFormat="1" applyFont="1" applyFill="1" applyBorder="1" applyAlignment="1">
      <alignment horizontal="left" vertical="center" wrapText="1"/>
    </xf>
    <xf numFmtId="0" fontId="20" fillId="32" borderId="13" xfId="0" applyFont="1" applyFill="1" applyBorder="1" applyAlignment="1" applyProtection="1">
      <alignment horizontal="left"/>
      <protection locked="0"/>
    </xf>
    <xf numFmtId="0" fontId="20" fillId="32" borderId="14" xfId="0" applyFont="1" applyFill="1" applyBorder="1" applyAlignment="1" applyProtection="1">
      <alignment horizontal="left"/>
      <protection locked="0"/>
    </xf>
    <xf numFmtId="0" fontId="20" fillId="32" borderId="12" xfId="0" applyFont="1" applyFill="1" applyBorder="1" applyAlignment="1" applyProtection="1">
      <alignment horizontal="left"/>
      <protection locked="0"/>
    </xf>
    <xf numFmtId="0" fontId="28" fillId="25" borderId="0" xfId="0" applyFont="1" applyFill="1" applyAlignment="1">
      <alignment horizontal="center"/>
    </xf>
    <xf numFmtId="0" fontId="26" fillId="27" borderId="13" xfId="0" applyFont="1" applyFill="1" applyBorder="1" applyAlignment="1">
      <alignment horizontal="center" vertical="center"/>
    </xf>
    <xf numFmtId="0" fontId="26" fillId="27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8" borderId="13" xfId="0" applyFont="1" applyFill="1" applyBorder="1" applyAlignment="1">
      <alignment horizontal="center" vertical="center" wrapText="1"/>
    </xf>
    <xf numFmtId="0" fontId="19" fillId="38" borderId="12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 applyProtection="1">
      <alignment horizontal="center"/>
      <protection locked="0"/>
    </xf>
    <xf numFmtId="49" fontId="19" fillId="32" borderId="13" xfId="0" applyNumberFormat="1" applyFont="1" applyFill="1" applyBorder="1" applyAlignment="1" applyProtection="1">
      <alignment horizontal="center"/>
      <protection locked="0"/>
    </xf>
    <xf numFmtId="49" fontId="19" fillId="32" borderId="12" xfId="0" applyNumberFormat="1" applyFont="1" applyFill="1" applyBorder="1" applyAlignment="1" applyProtection="1">
      <alignment horizontal="center"/>
      <protection locked="0"/>
    </xf>
    <xf numFmtId="0" fontId="19" fillId="33" borderId="10" xfId="0" applyFont="1" applyFill="1" applyBorder="1" applyAlignment="1">
      <alignment horizontal="left"/>
    </xf>
    <xf numFmtId="0" fontId="19" fillId="25" borderId="0" xfId="0" applyFont="1" applyFill="1" applyAlignment="1">
      <alignment horizontal="justify" vertical="center" wrapText="1"/>
    </xf>
    <xf numFmtId="0" fontId="19" fillId="37" borderId="13" xfId="0" applyFont="1" applyFill="1" applyBorder="1" applyAlignment="1">
      <alignment horizontal="left" vertical="center" wrapText="1"/>
    </xf>
    <xf numFmtId="0" fontId="19" fillId="37" borderId="14" xfId="0" applyFont="1" applyFill="1" applyBorder="1" applyAlignment="1">
      <alignment horizontal="left" vertical="center" wrapText="1"/>
    </xf>
    <xf numFmtId="0" fontId="19" fillId="37" borderId="12" xfId="0" applyFont="1" applyFill="1" applyBorder="1" applyAlignment="1">
      <alignment horizontal="left" vertical="center" wrapText="1"/>
    </xf>
    <xf numFmtId="0" fontId="32" fillId="25" borderId="0" xfId="0" applyFont="1" applyFill="1" applyAlignment="1">
      <alignment horizontal="left" wrapText="1"/>
    </xf>
    <xf numFmtId="4" fontId="19" fillId="35" borderId="13" xfId="0" applyNumberFormat="1" applyFont="1" applyFill="1" applyBorder="1" applyAlignment="1" applyProtection="1">
      <alignment horizontal="left" vertical="center" wrapText="1"/>
      <protection locked="0"/>
    </xf>
    <xf numFmtId="4" fontId="19" fillId="35" borderId="14" xfId="0" applyNumberFormat="1" applyFont="1" applyFill="1" applyBorder="1" applyAlignment="1" applyProtection="1">
      <alignment horizontal="left" vertical="center" wrapText="1"/>
      <protection locked="0"/>
    </xf>
    <xf numFmtId="4" fontId="19" fillId="35" borderId="12" xfId="0" applyNumberFormat="1" applyFont="1" applyFill="1" applyBorder="1" applyAlignment="1" applyProtection="1">
      <alignment horizontal="left" vertical="center" wrapText="1"/>
      <protection locked="0"/>
    </xf>
    <xf numFmtId="0" fontId="26" fillId="27" borderId="13" xfId="0" applyFont="1" applyFill="1" applyBorder="1" applyAlignment="1">
      <alignment horizontal="left" vertical="center"/>
    </xf>
    <xf numFmtId="0" fontId="26" fillId="27" borderId="14" xfId="0" applyFont="1" applyFill="1" applyBorder="1" applyAlignment="1">
      <alignment horizontal="left" vertical="center"/>
    </xf>
    <xf numFmtId="0" fontId="26" fillId="27" borderId="12" xfId="0" applyFont="1" applyFill="1" applyBorder="1" applyAlignment="1">
      <alignment horizontal="left" vertical="center"/>
    </xf>
    <xf numFmtId="0" fontId="26" fillId="29" borderId="11" xfId="0" applyFont="1" applyFill="1" applyBorder="1" applyAlignment="1">
      <alignment horizontal="left" vertical="center" wrapText="1"/>
    </xf>
    <xf numFmtId="0" fontId="19" fillId="37" borderId="11" xfId="0" applyFont="1" applyFill="1" applyBorder="1" applyAlignment="1">
      <alignment horizontal="left" vertical="center" wrapText="1"/>
    </xf>
    <xf numFmtId="0" fontId="19" fillId="31" borderId="11" xfId="0" applyFont="1" applyFill="1" applyBorder="1" applyAlignment="1">
      <alignment horizontal="left" vertical="center" wrapText="1"/>
    </xf>
    <xf numFmtId="39" fontId="19" fillId="34" borderId="13" xfId="0" applyNumberFormat="1" applyFont="1" applyFill="1" applyBorder="1" applyAlignment="1" applyProtection="1">
      <alignment horizontal="left" vertical="center" wrapText="1"/>
      <protection locked="0"/>
    </xf>
    <xf numFmtId="39" fontId="19" fillId="34" borderId="12" xfId="0" applyNumberFormat="1" applyFont="1" applyFill="1" applyBorder="1" applyAlignment="1" applyProtection="1">
      <alignment horizontal="left" vertical="center" wrapText="1"/>
      <protection locked="0"/>
    </xf>
    <xf numFmtId="0" fontId="26" fillId="27" borderId="13" xfId="0" applyFont="1" applyFill="1" applyBorder="1" applyAlignment="1">
      <alignment horizontal="left" vertical="center" wrapText="1"/>
    </xf>
    <xf numFmtId="0" fontId="26" fillId="27" borderId="14" xfId="0" applyFont="1" applyFill="1" applyBorder="1" applyAlignment="1">
      <alignment horizontal="left" vertical="center" wrapText="1"/>
    </xf>
    <xf numFmtId="0" fontId="26" fillId="27" borderId="12" xfId="0" applyFont="1" applyFill="1" applyBorder="1" applyAlignment="1">
      <alignment horizontal="left" vertical="center" wrapText="1"/>
    </xf>
    <xf numFmtId="0" fontId="26" fillId="27" borderId="10" xfId="0" applyFont="1" applyFill="1" applyBorder="1" applyAlignment="1">
      <alignment horizontal="left" vertical="center"/>
    </xf>
    <xf numFmtId="0" fontId="26" fillId="29" borderId="10" xfId="0" applyFont="1" applyFill="1" applyBorder="1" applyAlignment="1">
      <alignment horizontal="left" vertical="center" wrapText="1"/>
    </xf>
    <xf numFmtId="0" fontId="26" fillId="29" borderId="13" xfId="0" applyFont="1" applyFill="1" applyBorder="1" applyAlignment="1">
      <alignment horizontal="left" vertical="center" wrapText="1"/>
    </xf>
    <xf numFmtId="0" fontId="26" fillId="29" borderId="12" xfId="0" applyFont="1" applyFill="1" applyBorder="1" applyAlignment="1">
      <alignment horizontal="left" vertical="center" wrapText="1"/>
    </xf>
    <xf numFmtId="0" fontId="19" fillId="31" borderId="13" xfId="0" applyFont="1" applyFill="1" applyBorder="1" applyAlignment="1">
      <alignment horizontal="left" vertical="center"/>
    </xf>
    <xf numFmtId="0" fontId="19" fillId="31" borderId="14" xfId="0" applyFont="1" applyFill="1" applyBorder="1" applyAlignment="1">
      <alignment horizontal="left" vertical="center"/>
    </xf>
    <xf numFmtId="0" fontId="19" fillId="31" borderId="12" xfId="0" applyFont="1" applyFill="1" applyBorder="1" applyAlignment="1">
      <alignment horizontal="left" vertical="center"/>
    </xf>
    <xf numFmtId="0" fontId="19" fillId="37" borderId="10" xfId="0" applyFont="1" applyFill="1" applyBorder="1" applyAlignment="1">
      <alignment horizontal="left" vertical="center" wrapText="1"/>
    </xf>
    <xf numFmtId="0" fontId="19" fillId="31" borderId="10" xfId="0" applyFont="1" applyFill="1" applyBorder="1" applyAlignment="1">
      <alignment horizontal="left" vertical="center" wrapText="1"/>
    </xf>
    <xf numFmtId="0" fontId="32" fillId="25" borderId="30" xfId="0" applyFont="1" applyFill="1" applyBorder="1" applyAlignment="1">
      <alignment horizontal="left" vertical="center" wrapText="1"/>
    </xf>
    <xf numFmtId="0" fontId="19" fillId="37" borderId="10" xfId="0" applyFont="1" applyFill="1" applyBorder="1" applyAlignment="1">
      <alignment horizontal="justify" vertical="center"/>
    </xf>
    <xf numFmtId="0" fontId="26" fillId="27" borderId="10" xfId="0" applyFont="1" applyFill="1" applyBorder="1" applyAlignment="1">
      <alignment horizontal="left" vertical="center" wrapText="1"/>
    </xf>
    <xf numFmtId="0" fontId="19" fillId="31" borderId="10" xfId="0" applyFont="1" applyFill="1" applyBorder="1" applyAlignment="1">
      <alignment horizontal="justify" vertical="center"/>
    </xf>
    <xf numFmtId="0" fontId="26" fillId="27" borderId="10" xfId="0" applyFont="1" applyFill="1" applyBorder="1" applyAlignment="1">
      <alignment horizontal="justify" vertical="center" wrapText="1"/>
    </xf>
    <xf numFmtId="0" fontId="25" fillId="37" borderId="10" xfId="0" applyFont="1" applyFill="1" applyBorder="1" applyAlignment="1">
      <alignment horizontal="left" vertical="center" wrapText="1" indent="1"/>
    </xf>
    <xf numFmtId="0" fontId="25" fillId="31" borderId="10" xfId="0" applyFont="1" applyFill="1" applyBorder="1" applyAlignment="1">
      <alignment horizontal="left" vertical="center" wrapText="1" indent="1"/>
    </xf>
    <xf numFmtId="4" fontId="19" fillId="31" borderId="11" xfId="0" applyNumberFormat="1" applyFont="1" applyFill="1" applyBorder="1" applyAlignment="1">
      <alignment horizontal="left" vertical="center" wrapText="1"/>
    </xf>
    <xf numFmtId="0" fontId="26" fillId="36" borderId="11" xfId="0" applyFont="1" applyFill="1" applyBorder="1" applyAlignment="1">
      <alignment horizontal="left" vertical="center" wrapText="1"/>
    </xf>
    <xf numFmtId="4" fontId="19" fillId="31" borderId="10" xfId="0" applyNumberFormat="1" applyFont="1" applyFill="1" applyBorder="1" applyAlignment="1">
      <alignment horizontal="left" vertical="center" wrapText="1"/>
    </xf>
    <xf numFmtId="39" fontId="19" fillId="37" borderId="13" xfId="0" applyNumberFormat="1" applyFont="1" applyFill="1" applyBorder="1" applyAlignment="1">
      <alignment horizontal="left" vertical="center" wrapText="1"/>
    </xf>
    <xf numFmtId="39" fontId="19" fillId="37" borderId="14" xfId="0" applyNumberFormat="1" applyFont="1" applyFill="1" applyBorder="1" applyAlignment="1">
      <alignment horizontal="left" vertical="center" wrapText="1"/>
    </xf>
    <xf numFmtId="39" fontId="19" fillId="37" borderId="12" xfId="0" applyNumberFormat="1" applyFont="1" applyFill="1" applyBorder="1" applyAlignment="1">
      <alignment horizontal="left" vertical="center" wrapText="1"/>
    </xf>
    <xf numFmtId="39" fontId="19" fillId="31" borderId="13" xfId="0" applyNumberFormat="1" applyFont="1" applyFill="1" applyBorder="1" applyAlignment="1">
      <alignment horizontal="left" vertical="center" wrapText="1"/>
    </xf>
    <xf numFmtId="39" fontId="19" fillId="31" borderId="14" xfId="0" applyNumberFormat="1" applyFont="1" applyFill="1" applyBorder="1" applyAlignment="1">
      <alignment horizontal="left" vertical="center" wrapText="1"/>
    </xf>
    <xf numFmtId="39" fontId="19" fillId="31" borderId="12" xfId="0" applyNumberFormat="1" applyFont="1" applyFill="1" applyBorder="1" applyAlignment="1">
      <alignment horizontal="left" vertical="center" wrapText="1"/>
    </xf>
    <xf numFmtId="0" fontId="32" fillId="25" borderId="14" xfId="0" applyFont="1" applyFill="1" applyBorder="1" applyAlignment="1">
      <alignment horizontal="justify" vertical="center" wrapText="1"/>
    </xf>
    <xf numFmtId="0" fontId="26" fillId="27" borderId="13" xfId="0" applyFont="1" applyFill="1" applyBorder="1" applyAlignment="1">
      <alignment horizontal="justify" vertical="center" wrapText="1"/>
    </xf>
    <xf numFmtId="0" fontId="26" fillId="27" borderId="12" xfId="0" applyFont="1" applyFill="1" applyBorder="1" applyAlignment="1">
      <alignment horizontal="justify" vertical="center" wrapText="1"/>
    </xf>
    <xf numFmtId="0" fontId="35" fillId="25" borderId="16" xfId="0" applyFont="1" applyFill="1" applyBorder="1" applyAlignment="1">
      <alignment horizontal="center" vertical="center"/>
    </xf>
    <xf numFmtId="0" fontId="26" fillId="29" borderId="14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19" fillId="33" borderId="10" xfId="0" applyFont="1" applyFill="1" applyBorder="1" applyAlignment="1">
      <alignment horizontal="left" vertical="center"/>
    </xf>
    <xf numFmtId="0" fontId="19" fillId="38" borderId="10" xfId="0" applyFont="1" applyFill="1" applyBorder="1" applyAlignment="1">
      <alignment horizontal="left" vertical="center"/>
    </xf>
    <xf numFmtId="0" fontId="20" fillId="38" borderId="13" xfId="0" applyFont="1" applyFill="1" applyBorder="1" applyAlignment="1">
      <alignment horizontal="left"/>
    </xf>
    <xf numFmtId="0" fontId="20" fillId="38" borderId="14" xfId="0" applyFont="1" applyFill="1" applyBorder="1" applyAlignment="1">
      <alignment horizontal="left"/>
    </xf>
    <xf numFmtId="0" fontId="20" fillId="38" borderId="12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  <xf numFmtId="0" fontId="20" fillId="33" borderId="14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19" fillId="38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left" wrapText="1"/>
    </xf>
    <xf numFmtId="0" fontId="26" fillId="36" borderId="10" xfId="0" applyFont="1" applyFill="1" applyBorder="1" applyAlignment="1">
      <alignment horizontal="left" vertical="center" wrapText="1"/>
    </xf>
    <xf numFmtId="0" fontId="32" fillId="25" borderId="0" xfId="0" applyFont="1" applyFill="1" applyAlignment="1">
      <alignment horizontal="justify" vertical="center" wrapText="1"/>
    </xf>
    <xf numFmtId="0" fontId="19" fillId="37" borderId="13" xfId="0" applyFont="1" applyFill="1" applyBorder="1" applyAlignment="1">
      <alignment horizontal="center"/>
    </xf>
    <xf numFmtId="0" fontId="19" fillId="37" borderId="14" xfId="0" applyFont="1" applyFill="1" applyBorder="1" applyAlignment="1">
      <alignment horizontal="center"/>
    </xf>
    <xf numFmtId="0" fontId="19" fillId="37" borderId="12" xfId="0" applyFont="1" applyFill="1" applyBorder="1" applyAlignment="1">
      <alignment horizontal="center"/>
    </xf>
    <xf numFmtId="0" fontId="19" fillId="37" borderId="13" xfId="0" applyFont="1" applyFill="1" applyBorder="1" applyAlignment="1">
      <alignment horizontal="left"/>
    </xf>
    <xf numFmtId="0" fontId="19" fillId="37" borderId="12" xfId="0" applyFont="1" applyFill="1" applyBorder="1" applyAlignment="1">
      <alignment horizontal="left"/>
    </xf>
    <xf numFmtId="0" fontId="19" fillId="31" borderId="13" xfId="0" applyFont="1" applyFill="1" applyBorder="1" applyAlignment="1">
      <alignment horizontal="center"/>
    </xf>
    <xf numFmtId="0" fontId="19" fillId="31" borderId="14" xfId="0" applyFont="1" applyFill="1" applyBorder="1" applyAlignment="1">
      <alignment horizontal="center"/>
    </xf>
    <xf numFmtId="0" fontId="19" fillId="31" borderId="12" xfId="0" applyFont="1" applyFill="1" applyBorder="1" applyAlignment="1">
      <alignment horizontal="center"/>
    </xf>
    <xf numFmtId="0" fontId="19" fillId="31" borderId="13" xfId="0" applyFont="1" applyFill="1" applyBorder="1" applyAlignment="1">
      <alignment horizontal="left"/>
    </xf>
    <xf numFmtId="0" fontId="19" fillId="31" borderId="14" xfId="0" applyFont="1" applyFill="1" applyBorder="1" applyAlignment="1">
      <alignment horizontal="left"/>
    </xf>
    <xf numFmtId="0" fontId="19" fillId="31" borderId="12" xfId="0" applyFont="1" applyFill="1" applyBorder="1" applyAlignment="1">
      <alignment horizontal="left"/>
    </xf>
    <xf numFmtId="39" fontId="19" fillId="37" borderId="11" xfId="0" applyNumberFormat="1" applyFont="1" applyFill="1" applyBorder="1" applyAlignment="1">
      <alignment horizontal="left" vertical="center" wrapText="1"/>
    </xf>
    <xf numFmtId="0" fontId="26" fillId="27" borderId="11" xfId="0" applyFont="1" applyFill="1" applyBorder="1" applyAlignment="1">
      <alignment horizontal="left" vertical="center"/>
    </xf>
    <xf numFmtId="0" fontId="26" fillId="27" borderId="17" xfId="0" applyFont="1" applyFill="1" applyBorder="1" applyAlignment="1">
      <alignment horizontal="left" vertical="center"/>
    </xf>
    <xf numFmtId="0" fontId="26" fillId="27" borderId="18" xfId="0" applyFont="1" applyFill="1" applyBorder="1" applyAlignment="1">
      <alignment horizontal="left" vertical="center"/>
    </xf>
    <xf numFmtId="0" fontId="26" fillId="27" borderId="19" xfId="0" applyFont="1" applyFill="1" applyBorder="1" applyAlignment="1">
      <alignment horizontal="left" vertical="center"/>
    </xf>
    <xf numFmtId="0" fontId="32" fillId="25" borderId="0" xfId="0" applyFont="1" applyFill="1" applyAlignment="1">
      <alignment horizontal="left" vertical="center" wrapText="1"/>
    </xf>
    <xf numFmtId="0" fontId="26" fillId="27" borderId="11" xfId="0" applyFont="1" applyFill="1" applyBorder="1" applyAlignment="1">
      <alignment horizontal="justify" vertical="center" wrapText="1"/>
    </xf>
    <xf numFmtId="0" fontId="26" fillId="28" borderId="13" xfId="0" applyFont="1" applyFill="1" applyBorder="1" applyAlignment="1">
      <alignment horizontal="center" vertical="center"/>
    </xf>
    <xf numFmtId="0" fontId="26" fillId="28" borderId="12" xfId="0" applyFont="1" applyFill="1" applyBorder="1" applyAlignment="1">
      <alignment horizontal="center" vertical="center"/>
    </xf>
    <xf numFmtId="0" fontId="33" fillId="25" borderId="16" xfId="0" applyFont="1" applyFill="1" applyBorder="1" applyAlignment="1">
      <alignment horizontal="center" vertical="center"/>
    </xf>
    <xf numFmtId="0" fontId="39" fillId="40" borderId="31" xfId="0" applyFont="1" applyFill="1" applyBorder="1" applyAlignment="1">
      <alignment horizontal="left" vertical="center"/>
    </xf>
    <xf numFmtId="0" fontId="37" fillId="30" borderId="13" xfId="0" applyFont="1" applyFill="1" applyBorder="1" applyAlignment="1">
      <alignment horizontal="left" vertical="center" wrapText="1"/>
    </xf>
    <xf numFmtId="0" fontId="37" fillId="30" borderId="12" xfId="0" applyFont="1" applyFill="1" applyBorder="1" applyAlignment="1">
      <alignment horizontal="left" vertical="center" wrapText="1"/>
    </xf>
    <xf numFmtId="0" fontId="19" fillId="31" borderId="13" xfId="0" applyFont="1" applyFill="1" applyBorder="1" applyAlignment="1">
      <alignment horizontal="justify" vertical="center" wrapText="1"/>
    </xf>
    <xf numFmtId="0" fontId="19" fillId="31" borderId="12" xfId="0" applyFont="1" applyFill="1" applyBorder="1" applyAlignment="1">
      <alignment horizontal="justify" vertical="center" wrapText="1"/>
    </xf>
    <xf numFmtId="0" fontId="19" fillId="30" borderId="13" xfId="0" applyFont="1" applyFill="1" applyBorder="1" applyAlignment="1">
      <alignment horizontal="left" vertical="center" wrapText="1"/>
    </xf>
    <xf numFmtId="0" fontId="19" fillId="30" borderId="12" xfId="0" applyFont="1" applyFill="1" applyBorder="1" applyAlignment="1">
      <alignment horizontal="left" vertical="center" wrapText="1"/>
    </xf>
    <xf numFmtId="0" fontId="19" fillId="37" borderId="13" xfId="0" applyFont="1" applyFill="1" applyBorder="1" applyAlignment="1">
      <alignment horizontal="justify" vertical="center" wrapText="1"/>
    </xf>
    <xf numFmtId="0" fontId="19" fillId="37" borderId="12" xfId="0" applyFont="1" applyFill="1" applyBorder="1" applyAlignment="1">
      <alignment horizontal="justify" vertical="center" wrapText="1"/>
    </xf>
    <xf numFmtId="0" fontId="26" fillId="27" borderId="13" xfId="0" applyFont="1" applyFill="1" applyBorder="1" applyAlignment="1">
      <alignment horizontal="center" vertical="center" wrapText="1"/>
    </xf>
    <xf numFmtId="0" fontId="26" fillId="27" borderId="12" xfId="0" applyFont="1" applyFill="1" applyBorder="1" applyAlignment="1">
      <alignment horizontal="center" vertical="center" wrapText="1"/>
    </xf>
    <xf numFmtId="0" fontId="26" fillId="28" borderId="21" xfId="0" applyFont="1" applyFill="1" applyBorder="1" applyAlignment="1">
      <alignment horizontal="center" vertical="center"/>
    </xf>
    <xf numFmtId="0" fontId="26" fillId="28" borderId="20" xfId="0" applyFont="1" applyFill="1" applyBorder="1" applyAlignment="1">
      <alignment horizontal="center" vertical="center"/>
    </xf>
    <xf numFmtId="0" fontId="26" fillId="28" borderId="22" xfId="0" applyFont="1" applyFill="1" applyBorder="1" applyAlignment="1">
      <alignment horizontal="center" vertical="center"/>
    </xf>
    <xf numFmtId="0" fontId="26" fillId="28" borderId="21" xfId="0" applyFont="1" applyFill="1" applyBorder="1" applyAlignment="1">
      <alignment horizontal="center" vertical="center" wrapText="1"/>
    </xf>
    <xf numFmtId="0" fontId="26" fillId="28" borderId="23" xfId="0" applyFont="1" applyFill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center" wrapText="1"/>
    </xf>
    <xf numFmtId="0" fontId="26" fillId="28" borderId="25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vertical="center" wrapText="1"/>
    </xf>
    <xf numFmtId="0" fontId="26" fillId="28" borderId="27" xfId="0" applyFont="1" applyFill="1" applyBorder="1" applyAlignment="1">
      <alignment horizontal="center" vertical="center" wrapText="1"/>
    </xf>
    <xf numFmtId="0" fontId="26" fillId="28" borderId="28" xfId="0" applyFont="1" applyFill="1" applyBorder="1" applyAlignment="1">
      <alignment horizontal="center" vertical="center" wrapText="1"/>
    </xf>
    <xf numFmtId="0" fontId="26" fillId="28" borderId="29" xfId="0" applyFont="1" applyFill="1" applyBorder="1" applyAlignment="1">
      <alignment horizontal="center" vertical="center" wrapText="1"/>
    </xf>
    <xf numFmtId="0" fontId="26" fillId="28" borderId="15" xfId="0" applyFont="1" applyFill="1" applyBorder="1" applyAlignment="1">
      <alignment horizontal="center" vertic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ta" xfId="32" builtinId="10" customBuiltin="1"/>
    <cellStyle name="Ruim" xfId="30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 1" xfId="36" builtinId="16" customBuiltin="1"/>
    <cellStyle name="Título 1 1" xfId="37" xr:uid="{00000000-0005-0000-0000-000025000000}"/>
    <cellStyle name="Título 1 1 1" xfId="38" xr:uid="{00000000-0005-0000-0000-000026000000}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FF6600"/>
      <color rgb="FFCC3300"/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opLeftCell="A53" workbookViewId="0">
      <selection activeCell="F73" sqref="F73"/>
    </sheetView>
  </sheetViews>
  <sheetFormatPr defaultColWidth="9.140625" defaultRowHeight="16.5" x14ac:dyDescent="0.3"/>
  <cols>
    <col min="1" max="1" width="2.7109375" style="16" customWidth="1"/>
    <col min="2" max="2" width="8.85546875" style="16" customWidth="1"/>
    <col min="3" max="3" width="52.5703125" style="21" customWidth="1"/>
    <col min="4" max="4" width="7.85546875" style="21" customWidth="1"/>
    <col min="5" max="5" width="13.5703125" style="21" customWidth="1"/>
    <col min="6" max="6" width="15.42578125" style="21" bestFit="1" customWidth="1"/>
    <col min="7" max="16384" width="9.140625" style="16"/>
  </cols>
  <sheetData>
    <row r="1" spans="2:6" ht="20.25" x14ac:dyDescent="0.35">
      <c r="B1" s="155" t="s">
        <v>0</v>
      </c>
      <c r="C1" s="156"/>
      <c r="D1" s="156"/>
      <c r="E1" s="156"/>
      <c r="F1" s="157"/>
    </row>
    <row r="2" spans="2:6" ht="20.25" x14ac:dyDescent="0.35">
      <c r="B2" s="155" t="s">
        <v>1</v>
      </c>
      <c r="C2" s="156"/>
      <c r="D2" s="157"/>
      <c r="E2" s="130" t="s">
        <v>2</v>
      </c>
      <c r="F2" s="93" t="s">
        <v>3</v>
      </c>
    </row>
    <row r="3" spans="2:6" x14ac:dyDescent="0.3">
      <c r="B3" s="99"/>
      <c r="C3" s="99"/>
      <c r="D3" s="99"/>
      <c r="E3" s="99"/>
      <c r="F3" s="99"/>
    </row>
    <row r="4" spans="2:6" s="99" customFormat="1" ht="25.5" x14ac:dyDescent="0.5">
      <c r="B4" s="158" t="s">
        <v>4</v>
      </c>
      <c r="C4" s="158"/>
      <c r="D4" s="158"/>
      <c r="E4" s="158"/>
      <c r="F4" s="158"/>
    </row>
    <row r="5" spans="2:6" s="99" customFormat="1" ht="15.95" customHeight="1" x14ac:dyDescent="0.3">
      <c r="B5" s="144" t="s">
        <v>5</v>
      </c>
      <c r="C5" s="144"/>
      <c r="D5" s="144"/>
      <c r="E5" s="144"/>
      <c r="F5" s="144"/>
    </row>
    <row r="6" spans="2:6" s="99" customFormat="1" ht="15.95" customHeight="1" x14ac:dyDescent="0.3">
      <c r="B6" s="142" t="s">
        <v>6</v>
      </c>
      <c r="C6" s="142"/>
      <c r="D6" s="165" t="s">
        <v>7</v>
      </c>
      <c r="E6" s="165"/>
      <c r="F6" s="165"/>
    </row>
    <row r="7" spans="2:6" s="99" customFormat="1" ht="15.75" customHeight="1" x14ac:dyDescent="0.3">
      <c r="B7" s="168" t="s">
        <v>8</v>
      </c>
      <c r="C7" s="168"/>
      <c r="D7" s="143" t="s">
        <v>9</v>
      </c>
      <c r="E7" s="143"/>
      <c r="F7" s="26" t="s">
        <v>10</v>
      </c>
    </row>
    <row r="8" spans="2:6" s="99" customFormat="1" ht="15.75" customHeight="1" x14ac:dyDescent="0.3">
      <c r="B8" s="142" t="s">
        <v>11</v>
      </c>
      <c r="C8" s="142"/>
      <c r="D8" s="166" t="s">
        <v>3</v>
      </c>
      <c r="E8" s="167"/>
      <c r="F8" s="26" t="s">
        <v>12</v>
      </c>
    </row>
    <row r="9" spans="2:6" s="99" customFormat="1" ht="9.75" customHeight="1" x14ac:dyDescent="0.3">
      <c r="C9" s="14"/>
      <c r="D9" s="100"/>
      <c r="E9" s="100"/>
      <c r="F9" s="101"/>
    </row>
    <row r="10" spans="2:6" s="99" customFormat="1" ht="15.75" customHeight="1" x14ac:dyDescent="0.3">
      <c r="B10" s="144" t="s">
        <v>13</v>
      </c>
      <c r="C10" s="144"/>
      <c r="D10" s="144"/>
      <c r="E10" s="144"/>
      <c r="F10" s="144"/>
    </row>
    <row r="11" spans="2:6" s="99" customFormat="1" ht="18" customHeight="1" x14ac:dyDescent="0.3">
      <c r="B11" s="27" t="s">
        <v>14</v>
      </c>
      <c r="C11" s="142" t="s">
        <v>15</v>
      </c>
      <c r="D11" s="142"/>
      <c r="E11" s="142"/>
      <c r="F11" s="28" t="s">
        <v>3</v>
      </c>
    </row>
    <row r="12" spans="2:6" s="99" customFormat="1" ht="15.95" customHeight="1" x14ac:dyDescent="0.15">
      <c r="B12" s="1" t="s">
        <v>16</v>
      </c>
      <c r="C12" s="69" t="s">
        <v>17</v>
      </c>
      <c r="D12" s="145" t="s">
        <v>18</v>
      </c>
      <c r="E12" s="145"/>
      <c r="F12" s="145"/>
    </row>
    <row r="13" spans="2:6" s="99" customFormat="1" ht="15.95" customHeight="1" x14ac:dyDescent="0.3">
      <c r="B13" s="27" t="s">
        <v>19</v>
      </c>
      <c r="C13" s="142" t="s">
        <v>20</v>
      </c>
      <c r="D13" s="142"/>
      <c r="E13" s="142"/>
      <c r="F13" s="74" t="s">
        <v>21</v>
      </c>
    </row>
    <row r="14" spans="2:6" s="99" customFormat="1" ht="18.75" customHeight="1" x14ac:dyDescent="0.3">
      <c r="B14" s="1" t="s">
        <v>22</v>
      </c>
      <c r="C14" s="146" t="s">
        <v>23</v>
      </c>
      <c r="D14" s="147"/>
      <c r="E14" s="148"/>
      <c r="F14" s="26" t="s">
        <v>24</v>
      </c>
    </row>
    <row r="15" spans="2:6" s="99" customFormat="1" ht="15.95" customHeight="1" x14ac:dyDescent="0.3">
      <c r="B15" s="1" t="s">
        <v>25</v>
      </c>
      <c r="C15" s="142" t="s">
        <v>26</v>
      </c>
      <c r="D15" s="142"/>
      <c r="E15" s="142"/>
      <c r="F15" s="102">
        <v>12</v>
      </c>
    </row>
    <row r="16" spans="2:6" s="99" customFormat="1" ht="15.95" customHeight="1" x14ac:dyDescent="0.3">
      <c r="C16" s="14"/>
      <c r="D16" s="100"/>
      <c r="E16" s="100"/>
      <c r="F16" s="101"/>
    </row>
    <row r="17" spans="2:6" s="99" customFormat="1" x14ac:dyDescent="0.3">
      <c r="B17" s="144" t="s">
        <v>27</v>
      </c>
      <c r="C17" s="144"/>
      <c r="D17" s="144"/>
      <c r="E17" s="144"/>
      <c r="F17" s="144"/>
    </row>
    <row r="18" spans="2:6" s="103" customFormat="1" ht="33" x14ac:dyDescent="0.2">
      <c r="B18" s="97" t="s">
        <v>28</v>
      </c>
      <c r="C18" s="97" t="s">
        <v>29</v>
      </c>
      <c r="D18" s="159" t="s">
        <v>30</v>
      </c>
      <c r="E18" s="160"/>
      <c r="F18" s="68" t="s">
        <v>31</v>
      </c>
    </row>
    <row r="19" spans="2:6" s="99" customFormat="1" ht="16.5" customHeight="1" x14ac:dyDescent="0.3">
      <c r="B19" s="27">
        <v>1</v>
      </c>
      <c r="C19" s="127" t="s">
        <v>32</v>
      </c>
      <c r="D19" s="163" t="s">
        <v>33</v>
      </c>
      <c r="E19" s="164"/>
      <c r="F19" s="95">
        <v>2</v>
      </c>
    </row>
    <row r="20" spans="2:6" s="99" customFormat="1" ht="16.5" customHeight="1" x14ac:dyDescent="0.3">
      <c r="B20" s="27">
        <v>2</v>
      </c>
      <c r="C20" s="128" t="s">
        <v>34</v>
      </c>
      <c r="D20" s="161" t="s">
        <v>33</v>
      </c>
      <c r="E20" s="162"/>
      <c r="F20" s="86">
        <v>1</v>
      </c>
    </row>
    <row r="21" spans="2:6" s="99" customFormat="1" ht="16.5" customHeight="1" x14ac:dyDescent="0.3">
      <c r="B21" s="27">
        <v>3</v>
      </c>
      <c r="C21" s="127" t="s">
        <v>35</v>
      </c>
      <c r="D21" s="163" t="s">
        <v>33</v>
      </c>
      <c r="E21" s="164"/>
      <c r="F21" s="95">
        <v>4</v>
      </c>
    </row>
    <row r="22" spans="2:6" s="99" customFormat="1" ht="16.5" customHeight="1" x14ac:dyDescent="0.3">
      <c r="B22" s="27">
        <v>4</v>
      </c>
      <c r="C22" s="127" t="s">
        <v>36</v>
      </c>
      <c r="D22" s="163" t="s">
        <v>33</v>
      </c>
      <c r="E22" s="164"/>
      <c r="F22" s="95">
        <v>1</v>
      </c>
    </row>
    <row r="23" spans="2:6" s="99" customFormat="1" ht="15.95" customHeight="1" x14ac:dyDescent="0.3">
      <c r="B23" s="20"/>
      <c r="C23" s="20"/>
      <c r="D23" s="20"/>
      <c r="E23" s="20"/>
      <c r="F23" s="20"/>
    </row>
    <row r="24" spans="2:6" s="99" customFormat="1" ht="15" customHeight="1" x14ac:dyDescent="0.3">
      <c r="B24" s="144" t="s">
        <v>37</v>
      </c>
      <c r="C24" s="144"/>
      <c r="D24" s="144"/>
      <c r="E24" s="144"/>
      <c r="F24" s="144"/>
    </row>
    <row r="25" spans="2:6" s="99" customFormat="1" ht="15" customHeight="1" x14ac:dyDescent="0.3">
      <c r="B25" s="27">
        <v>1</v>
      </c>
      <c r="C25" s="152" t="s">
        <v>38</v>
      </c>
      <c r="D25" s="152"/>
      <c r="E25" s="151" t="s">
        <v>39</v>
      </c>
      <c r="F25" s="151"/>
    </row>
    <row r="26" spans="2:6" s="99" customFormat="1" ht="15" customHeight="1" x14ac:dyDescent="0.3">
      <c r="B26" s="27">
        <v>2</v>
      </c>
      <c r="C26" s="29" t="s">
        <v>40</v>
      </c>
      <c r="D26" s="149" t="s">
        <v>41</v>
      </c>
      <c r="E26" s="149"/>
      <c r="F26" s="149"/>
    </row>
    <row r="27" spans="2:6" s="99" customFormat="1" ht="15.95" customHeight="1" x14ac:dyDescent="0.3">
      <c r="B27" s="27">
        <v>3</v>
      </c>
      <c r="C27" s="58" t="s">
        <v>42</v>
      </c>
      <c r="D27" s="151" t="s">
        <v>43</v>
      </c>
      <c r="E27" s="151"/>
      <c r="F27" s="151"/>
    </row>
    <row r="28" spans="2:6" s="99" customFormat="1" ht="15.95" customHeight="1" x14ac:dyDescent="0.3">
      <c r="B28" s="27">
        <v>4</v>
      </c>
      <c r="C28" s="153" t="s">
        <v>44</v>
      </c>
      <c r="D28" s="153"/>
      <c r="E28" s="153"/>
      <c r="F28" s="28">
        <v>45292</v>
      </c>
    </row>
    <row r="29" spans="2:6" s="99" customFormat="1" ht="15.95" customHeight="1" x14ac:dyDescent="0.3">
      <c r="B29" s="27">
        <v>5</v>
      </c>
      <c r="C29" s="152" t="s">
        <v>45</v>
      </c>
      <c r="D29" s="152"/>
      <c r="E29" s="152"/>
      <c r="F29" s="70">
        <v>1412</v>
      </c>
    </row>
    <row r="30" spans="2:6" s="99" customFormat="1" x14ac:dyDescent="0.3">
      <c r="B30" s="30"/>
      <c r="C30" s="31"/>
      <c r="D30" s="31"/>
      <c r="E30" s="31"/>
      <c r="F30" s="104"/>
    </row>
    <row r="31" spans="2:6" s="99" customFormat="1" ht="25.5" x14ac:dyDescent="0.5">
      <c r="B31" s="105" t="s">
        <v>46</v>
      </c>
      <c r="C31" s="16"/>
      <c r="D31" s="16"/>
      <c r="E31" s="16"/>
      <c r="F31" s="16"/>
    </row>
    <row r="32" spans="2:6" x14ac:dyDescent="0.3">
      <c r="B32" s="53" t="s">
        <v>47</v>
      </c>
      <c r="E32" s="17"/>
      <c r="F32" s="17"/>
    </row>
    <row r="33" spans="1:6" x14ac:dyDescent="0.3">
      <c r="B33" s="1">
        <v>1</v>
      </c>
      <c r="C33" s="189" t="s">
        <v>48</v>
      </c>
      <c r="D33" s="189"/>
      <c r="E33" s="189"/>
      <c r="F33" s="4" t="s">
        <v>49</v>
      </c>
    </row>
    <row r="34" spans="1:6" x14ac:dyDescent="0.3">
      <c r="B34" s="1" t="s">
        <v>14</v>
      </c>
      <c r="C34" s="154" t="s">
        <v>50</v>
      </c>
      <c r="D34" s="154"/>
      <c r="E34" s="154"/>
      <c r="F34" s="87">
        <v>2723.41</v>
      </c>
    </row>
    <row r="35" spans="1:6" x14ac:dyDescent="0.3">
      <c r="B35" s="1" t="s">
        <v>16</v>
      </c>
      <c r="C35" s="154" t="s">
        <v>51</v>
      </c>
      <c r="D35" s="154"/>
      <c r="E35" s="154"/>
      <c r="F35" s="87">
        <v>3266.67</v>
      </c>
    </row>
    <row r="36" spans="1:6" x14ac:dyDescent="0.3">
      <c r="B36" s="1" t="s">
        <v>19</v>
      </c>
      <c r="C36" s="139" t="s">
        <v>52</v>
      </c>
      <c r="D36" s="140"/>
      <c r="E36" s="141"/>
      <c r="F36" s="88">
        <v>30</v>
      </c>
    </row>
    <row r="37" spans="1:6" x14ac:dyDescent="0.3">
      <c r="B37" s="1" t="s">
        <v>22</v>
      </c>
      <c r="C37" s="154" t="s">
        <v>53</v>
      </c>
      <c r="D37" s="154"/>
      <c r="E37" s="154"/>
      <c r="F37" s="88">
        <v>20</v>
      </c>
    </row>
    <row r="38" spans="1:6" x14ac:dyDescent="0.3">
      <c r="B38" s="1" t="s">
        <v>25</v>
      </c>
      <c r="C38" s="150" t="s">
        <v>54</v>
      </c>
      <c r="D38" s="150"/>
      <c r="E38" s="150"/>
      <c r="F38" s="87"/>
    </row>
    <row r="39" spans="1:6" x14ac:dyDescent="0.3">
      <c r="B39" s="1" t="s">
        <v>55</v>
      </c>
      <c r="C39" s="150" t="s">
        <v>56</v>
      </c>
      <c r="D39" s="150"/>
      <c r="E39" s="150"/>
      <c r="F39" s="87"/>
    </row>
    <row r="40" spans="1:6" x14ac:dyDescent="0.3">
      <c r="B40" s="1" t="s">
        <v>57</v>
      </c>
      <c r="C40" s="150" t="s">
        <v>58</v>
      </c>
      <c r="D40" s="150"/>
      <c r="E40" s="150"/>
      <c r="F40" s="87"/>
    </row>
    <row r="41" spans="1:6" s="106" customFormat="1" x14ac:dyDescent="0.3"/>
    <row r="42" spans="1:6" s="106" customFormat="1" x14ac:dyDescent="0.3">
      <c r="A42" s="16"/>
      <c r="B42" s="53" t="s">
        <v>59</v>
      </c>
      <c r="C42" s="99"/>
      <c r="D42" s="99"/>
      <c r="E42" s="99"/>
      <c r="F42" s="99"/>
    </row>
    <row r="43" spans="1:6" s="106" customFormat="1" ht="15" customHeight="1" x14ac:dyDescent="0.3">
      <c r="A43" s="16"/>
      <c r="B43" s="1" t="s">
        <v>60</v>
      </c>
      <c r="C43" s="190" t="s">
        <v>61</v>
      </c>
      <c r="D43" s="191"/>
      <c r="E43" s="4" t="s">
        <v>62</v>
      </c>
      <c r="F43" s="4" t="s">
        <v>63</v>
      </c>
    </row>
    <row r="44" spans="1:6" s="106" customFormat="1" x14ac:dyDescent="0.3">
      <c r="A44" s="16"/>
      <c r="B44" s="98" t="s">
        <v>14</v>
      </c>
      <c r="C44" s="152" t="s">
        <v>64</v>
      </c>
      <c r="D44" s="152"/>
      <c r="E44" s="102" t="s">
        <v>65</v>
      </c>
      <c r="F44" s="34">
        <v>11</v>
      </c>
    </row>
    <row r="45" spans="1:6" s="106" customFormat="1" x14ac:dyDescent="0.3">
      <c r="B45" s="98" t="s">
        <v>16</v>
      </c>
      <c r="C45" s="153" t="s">
        <v>66</v>
      </c>
      <c r="D45" s="153"/>
      <c r="E45" s="110" t="s">
        <v>65</v>
      </c>
      <c r="F45" s="34">
        <v>47.37</v>
      </c>
    </row>
    <row r="46" spans="1:6" x14ac:dyDescent="0.3">
      <c r="B46" s="98" t="s">
        <v>19</v>
      </c>
      <c r="C46" s="153" t="s">
        <v>67</v>
      </c>
      <c r="D46" s="153"/>
      <c r="E46" s="110" t="s">
        <v>68</v>
      </c>
      <c r="F46" s="87">
        <v>25.26</v>
      </c>
    </row>
    <row r="47" spans="1:6" x14ac:dyDescent="0.3">
      <c r="B47" s="98" t="s">
        <v>22</v>
      </c>
      <c r="C47" s="183" t="s">
        <v>69</v>
      </c>
      <c r="D47" s="184"/>
      <c r="E47" s="94"/>
      <c r="F47" s="87"/>
    </row>
    <row r="48" spans="1:6" x14ac:dyDescent="0.3">
      <c r="B48" s="98" t="s">
        <v>25</v>
      </c>
      <c r="C48" s="183" t="s">
        <v>70</v>
      </c>
      <c r="D48" s="184"/>
      <c r="E48" s="94"/>
      <c r="F48" s="87"/>
    </row>
    <row r="49" spans="1:6" s="106" customFormat="1" x14ac:dyDescent="0.3"/>
    <row r="50" spans="1:6" s="99" customFormat="1" x14ac:dyDescent="0.3">
      <c r="B50" s="53" t="s">
        <v>71</v>
      </c>
      <c r="C50" s="15"/>
      <c r="D50" s="24"/>
      <c r="E50" s="16"/>
      <c r="F50" s="16"/>
    </row>
    <row r="51" spans="1:6" s="99" customFormat="1" ht="15" customHeight="1" x14ac:dyDescent="0.3">
      <c r="B51" s="53" t="s">
        <v>72</v>
      </c>
      <c r="C51" s="15"/>
      <c r="D51" s="24"/>
      <c r="E51" s="22"/>
      <c r="F51" s="22"/>
    </row>
    <row r="52" spans="1:6" s="99" customFormat="1" x14ac:dyDescent="0.15">
      <c r="B52" s="1" t="s">
        <v>73</v>
      </c>
      <c r="C52" s="185" t="s">
        <v>74</v>
      </c>
      <c r="D52" s="186"/>
      <c r="E52" s="187"/>
      <c r="F52" s="4" t="s">
        <v>75</v>
      </c>
    </row>
    <row r="53" spans="1:6" x14ac:dyDescent="0.3">
      <c r="A53" s="99"/>
      <c r="B53" s="2" t="s">
        <v>14</v>
      </c>
      <c r="C53" s="174" t="s">
        <v>76</v>
      </c>
      <c r="D53" s="175"/>
      <c r="E53" s="176"/>
      <c r="F53" s="89"/>
    </row>
    <row r="54" spans="1:6" s="106" customFormat="1" x14ac:dyDescent="0.3"/>
    <row r="55" spans="1:6" x14ac:dyDescent="0.3">
      <c r="B55" s="53" t="s">
        <v>77</v>
      </c>
      <c r="C55" s="15"/>
      <c r="D55" s="24"/>
      <c r="E55" s="22"/>
      <c r="F55" s="22"/>
    </row>
    <row r="56" spans="1:6" x14ac:dyDescent="0.3">
      <c r="B56" s="1" t="s">
        <v>78</v>
      </c>
      <c r="C56" s="188" t="s">
        <v>79</v>
      </c>
      <c r="D56" s="188"/>
      <c r="E56" s="188"/>
      <c r="F56" s="4" t="s">
        <v>80</v>
      </c>
    </row>
    <row r="57" spans="1:6" x14ac:dyDescent="0.3">
      <c r="B57" s="1" t="s">
        <v>14</v>
      </c>
      <c r="C57" s="154" t="s">
        <v>81</v>
      </c>
      <c r="D57" s="154"/>
      <c r="E57" s="154"/>
      <c r="F57" s="88">
        <v>50</v>
      </c>
    </row>
    <row r="58" spans="1:6" ht="15" customHeight="1" x14ac:dyDescent="0.3">
      <c r="B58" s="1" t="s">
        <v>16</v>
      </c>
      <c r="C58" s="139" t="s">
        <v>82</v>
      </c>
      <c r="D58" s="140"/>
      <c r="E58" s="141"/>
      <c r="F58" s="88">
        <v>60</v>
      </c>
    </row>
    <row r="59" spans="1:6" s="106" customFormat="1" x14ac:dyDescent="0.3"/>
    <row r="60" spans="1:6" x14ac:dyDescent="0.3">
      <c r="B60" s="53" t="s">
        <v>83</v>
      </c>
      <c r="C60" s="15"/>
      <c r="D60" s="15"/>
      <c r="E60" s="22"/>
      <c r="F60" s="22"/>
    </row>
    <row r="61" spans="1:6" ht="15.75" customHeight="1" x14ac:dyDescent="0.3">
      <c r="B61" s="51">
        <v>5</v>
      </c>
      <c r="C61" s="180" t="s">
        <v>84</v>
      </c>
      <c r="D61" s="180"/>
      <c r="E61" s="180"/>
      <c r="F61" s="52" t="s">
        <v>85</v>
      </c>
    </row>
    <row r="62" spans="1:6" x14ac:dyDescent="0.3">
      <c r="B62" s="46" t="s">
        <v>14</v>
      </c>
      <c r="C62" s="181" t="s">
        <v>86</v>
      </c>
      <c r="D62" s="181"/>
      <c r="E62" s="181"/>
      <c r="F62" s="90">
        <v>76.69</v>
      </c>
    </row>
    <row r="63" spans="1:6" x14ac:dyDescent="0.3">
      <c r="B63" s="46" t="s">
        <v>16</v>
      </c>
      <c r="C63" s="182" t="s">
        <v>87</v>
      </c>
      <c r="D63" s="182"/>
      <c r="E63" s="182"/>
      <c r="F63" s="90">
        <v>132.86000000000001</v>
      </c>
    </row>
    <row r="64" spans="1:6" s="107" customFormat="1" x14ac:dyDescent="0.3">
      <c r="A64" s="16"/>
      <c r="B64" s="46" t="s">
        <v>19</v>
      </c>
      <c r="C64" s="181" t="s">
        <v>88</v>
      </c>
      <c r="D64" s="181"/>
      <c r="E64" s="181"/>
      <c r="F64" s="90"/>
    </row>
    <row r="65" spans="1:6" s="107" customFormat="1" x14ac:dyDescent="0.3">
      <c r="A65" s="16"/>
      <c r="B65" s="46" t="s">
        <v>22</v>
      </c>
      <c r="C65" s="150" t="s">
        <v>89</v>
      </c>
      <c r="D65" s="150"/>
      <c r="E65" s="150"/>
      <c r="F65" s="87"/>
    </row>
    <row r="66" spans="1:6" s="106" customFormat="1" x14ac:dyDescent="0.3"/>
    <row r="67" spans="1:6" s="108" customFormat="1" ht="16.5" customHeight="1" x14ac:dyDescent="0.3">
      <c r="A67" s="16"/>
      <c r="B67" s="173" t="s">
        <v>90</v>
      </c>
      <c r="C67" s="173"/>
      <c r="D67" s="173"/>
      <c r="E67" s="173"/>
      <c r="F67" s="173"/>
    </row>
    <row r="68" spans="1:6" s="109" customFormat="1" ht="16.5" customHeight="1" x14ac:dyDescent="0.3">
      <c r="A68" s="16"/>
      <c r="B68" s="1">
        <v>6</v>
      </c>
      <c r="C68" s="177" t="s">
        <v>91</v>
      </c>
      <c r="D68" s="178"/>
      <c r="E68" s="179"/>
      <c r="F68" s="4" t="s">
        <v>75</v>
      </c>
    </row>
    <row r="69" spans="1:6" s="109" customFormat="1" x14ac:dyDescent="0.3">
      <c r="A69" s="107"/>
      <c r="B69" s="1" t="s">
        <v>14</v>
      </c>
      <c r="C69" s="170" t="s">
        <v>92</v>
      </c>
      <c r="D69" s="171"/>
      <c r="E69" s="172"/>
      <c r="F69" s="94">
        <v>4.8499999999999996</v>
      </c>
    </row>
    <row r="70" spans="1:6" s="109" customFormat="1" x14ac:dyDescent="0.3">
      <c r="A70" s="107"/>
      <c r="B70" s="2" t="s">
        <v>16</v>
      </c>
      <c r="C70" s="139" t="s">
        <v>93</v>
      </c>
      <c r="D70" s="140"/>
      <c r="E70" s="141"/>
      <c r="F70" s="94">
        <v>5.45</v>
      </c>
    </row>
    <row r="71" spans="1:6" s="109" customFormat="1" x14ac:dyDescent="0.3">
      <c r="A71" s="108"/>
      <c r="B71" s="32" t="s">
        <v>94</v>
      </c>
      <c r="C71" s="170" t="s">
        <v>95</v>
      </c>
      <c r="D71" s="171"/>
      <c r="E71" s="172">
        <f>PERC_PIS</f>
        <v>0.65</v>
      </c>
      <c r="F71" s="94">
        <v>0.65</v>
      </c>
    </row>
    <row r="72" spans="1:6" x14ac:dyDescent="0.3">
      <c r="B72" s="32" t="s">
        <v>96</v>
      </c>
      <c r="C72" s="139" t="s">
        <v>97</v>
      </c>
      <c r="D72" s="140"/>
      <c r="E72" s="141">
        <f>PERC_COFINS</f>
        <v>3</v>
      </c>
      <c r="F72" s="94">
        <v>3</v>
      </c>
    </row>
    <row r="73" spans="1:6" x14ac:dyDescent="0.3">
      <c r="B73" s="32" t="s">
        <v>98</v>
      </c>
      <c r="C73" s="170" t="s">
        <v>99</v>
      </c>
      <c r="D73" s="171"/>
      <c r="E73" s="172">
        <f>PERC_ISS</f>
        <v>5</v>
      </c>
      <c r="F73" s="94">
        <v>5</v>
      </c>
    </row>
    <row r="74" spans="1:6" s="106" customFormat="1" x14ac:dyDescent="0.3"/>
    <row r="75" spans="1:6" ht="20.25" x14ac:dyDescent="0.3">
      <c r="B75" s="35" t="s">
        <v>100</v>
      </c>
      <c r="C75" s="36"/>
      <c r="D75" s="36"/>
      <c r="E75" s="36"/>
      <c r="F75" s="37"/>
    </row>
    <row r="76" spans="1:6" ht="33.75" customHeight="1" x14ac:dyDescent="0.3">
      <c r="B76" s="169" t="s">
        <v>101</v>
      </c>
      <c r="C76" s="169"/>
      <c r="D76" s="169"/>
      <c r="E76" s="169"/>
      <c r="F76" s="169"/>
    </row>
  </sheetData>
  <mergeCells count="61">
    <mergeCell ref="D22:E22"/>
    <mergeCell ref="C33:E33"/>
    <mergeCell ref="C44:D44"/>
    <mergeCell ref="C43:D43"/>
    <mergeCell ref="C45:D45"/>
    <mergeCell ref="C36:E36"/>
    <mergeCell ref="C37:E37"/>
    <mergeCell ref="C35:E35"/>
    <mergeCell ref="C69:E69"/>
    <mergeCell ref="C65:E65"/>
    <mergeCell ref="B67:F67"/>
    <mergeCell ref="C40:E40"/>
    <mergeCell ref="C53:E53"/>
    <mergeCell ref="C68:E68"/>
    <mergeCell ref="C61:E61"/>
    <mergeCell ref="C62:E62"/>
    <mergeCell ref="C63:E63"/>
    <mergeCell ref="C64:E64"/>
    <mergeCell ref="C48:D48"/>
    <mergeCell ref="C52:E52"/>
    <mergeCell ref="C46:D46"/>
    <mergeCell ref="C47:D47"/>
    <mergeCell ref="C56:E56"/>
    <mergeCell ref="C57:E57"/>
    <mergeCell ref="B76:F76"/>
    <mergeCell ref="C71:E71"/>
    <mergeCell ref="C73:E73"/>
    <mergeCell ref="C70:E70"/>
    <mergeCell ref="C72:E72"/>
    <mergeCell ref="B1:F1"/>
    <mergeCell ref="B2:D2"/>
    <mergeCell ref="B4:F4"/>
    <mergeCell ref="B5:F5"/>
    <mergeCell ref="C25:D25"/>
    <mergeCell ref="E25:F25"/>
    <mergeCell ref="D18:E18"/>
    <mergeCell ref="D20:E20"/>
    <mergeCell ref="D21:E21"/>
    <mergeCell ref="B24:F24"/>
    <mergeCell ref="D19:E19"/>
    <mergeCell ref="B6:C6"/>
    <mergeCell ref="D6:F6"/>
    <mergeCell ref="D8:E8"/>
    <mergeCell ref="B17:F17"/>
    <mergeCell ref="B7:C7"/>
    <mergeCell ref="C58:E58"/>
    <mergeCell ref="C15:E15"/>
    <mergeCell ref="D7:E7"/>
    <mergeCell ref="B10:F10"/>
    <mergeCell ref="C11:E11"/>
    <mergeCell ref="D12:F12"/>
    <mergeCell ref="C14:E14"/>
    <mergeCell ref="B8:C8"/>
    <mergeCell ref="C13:E13"/>
    <mergeCell ref="D26:F26"/>
    <mergeCell ref="C38:E38"/>
    <mergeCell ref="D27:F27"/>
    <mergeCell ref="C29:E29"/>
    <mergeCell ref="C28:E28"/>
    <mergeCell ref="C34:E34"/>
    <mergeCell ref="C39:E39"/>
  </mergeCells>
  <dataValidations count="9">
    <dataValidation type="whole" allowBlank="1" showInputMessage="1" showErrorMessage="1" errorTitle="Erro na inserção de dados." error="O percentual de ISS deve estar entre 2 e 5%, conforme o inciso I do artigo 8º e o caput do art. 8º-A da Lei Complementar nº 116/2003." sqref="F73" xr:uid="{00000000-0002-0000-0000-000000000000}">
      <formula1>2</formula1>
      <formula2>5</formula2>
    </dataValidation>
    <dataValidation type="whole" errorStyle="warning" operator="equal" allowBlank="1" showInputMessage="1" showErrorMessage="1" errorTitle="Atentar para o percentual." error="Tem certeza que o percentual do Cofins é diferente de 3%, previsto no art. 31 da Lei nº 10.833/2003?" sqref="F72" xr:uid="{00000000-0002-0000-0000-000001000000}">
      <formula1>3</formula1>
    </dataValidation>
    <dataValidation type="decimal" errorStyle="warning" operator="equal" allowBlank="1" showInputMessage="1" showErrorMessage="1" errorTitle="Atentar para o percentual." error="Tem certeza que o percentual do PIS é diferente de 0,65%, previsto no art. 31 da Lei nº 10.833/2003?" sqref="F71" xr:uid="{00000000-0002-0000-0000-000002000000}">
      <formula1>0.65</formula1>
    </dataValidation>
    <dataValidation type="decimal" errorStyle="warning" allowBlank="1" showInputMessage="1" showErrorMessage="1" errorTitle="Erro na inserção de dados." error="O percentual recomendado de lucro, para serviços de vigilância, é de 5,45%, conforme estudos realizados pela Auditoria Interna do MPU." sqref="F70" xr:uid="{00000000-0002-0000-0000-000003000000}">
      <formula1>0</formula1>
      <formula2>5.45</formula2>
    </dataValidation>
    <dataValidation type="decimal" errorStyle="warning" allowBlank="1" showInputMessage="1" showErrorMessage="1" errorTitle="Erro na inserção de dados." error="O percentual recomendado de custos indiretos, para serviços de vigilância, é de 4,85%, conforme estudos realizados pela Auditoria Interna do MPU." sqref="F69" xr:uid="{00000000-0002-0000-0000-000004000000}">
      <formula1>0</formula1>
      <formula2>4.85</formula2>
    </dataValidation>
    <dataValidation type="decimal" errorStyle="warning" operator="greaterThanOrEqual" allowBlank="1" showInputMessage="1" showErrorMessage="1" errorTitle="Atentar para o valor do salário." error="Tem certeza que o valor do salário-base é menor do que o salário mínimo vigente no país?" sqref="F34:F35" xr:uid="{00000000-0002-0000-0000-000005000000}">
      <formula1>F29</formula1>
    </dataValidation>
    <dataValidation type="whole" errorStyle="warning" operator="equal" allowBlank="1" showInputMessage="1" showErrorMessage="1" errorTitle="Atenção para a inclusão do item." error="Tem certeza que deseja incluir este item de custo e que o tempo de intervalo está de acordo com o previsto na CCT da categoria?" promptTitle="Intervalo Intrajornada" prompt="Segundo estudos da Audin-MPU, esse item não é usual nas planilhas do MPU. Verifique se realmente há necessidade de incluí-lo." sqref="F58" xr:uid="{00000000-0002-0000-0000-000006000000}">
      <formula1>0</formula1>
    </dataValidation>
    <dataValidation type="whole" errorStyle="warning" operator="equal" allowBlank="1" showInputMessage="1" showErrorMessage="1" errorTitle="Atenção para a inclusão do item." error="Tem certeza que deseja incluir este item de custo e que o percentual está de acordo com o previsto na CCT da categoria?" promptTitle="Intervalo Intrajornada" prompt="Segundo estudos da Audin-MPU, esse item não é usual nas planilhas do MPU. Verifique se realmente há necessidade de incluí-lo." sqref="F57" xr:uid="{00000000-0002-0000-0000-000007000000}">
      <formula1>0</formula1>
    </dataValidation>
    <dataValidation type="list" allowBlank="1" showInputMessage="1" showErrorMessage="1" sqref="F13" xr:uid="{00000000-0002-0000-0000-000008000000}">
      <formula1>"AC,AL,AP,AM,BA,CE,DF,ES,GO,MA,MG,MS,MT,PA,PB,PR,PE,PI,RJ,RN,RO,RR,RS,SC,SP,SE,TO"</formula1>
    </dataValidation>
  </dataValidations>
  <pageMargins left="0.17" right="0.17" top="0.31" bottom="0.68" header="0.31496062000000002" footer="0.31496062000000002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topLeftCell="A13" workbookViewId="0">
      <selection activeCell="J19" sqref="J19"/>
    </sheetView>
  </sheetViews>
  <sheetFormatPr defaultColWidth="9.140625" defaultRowHeight="16.5" x14ac:dyDescent="0.3"/>
  <cols>
    <col min="1" max="1" width="2.7109375" style="16" customWidth="1"/>
    <col min="2" max="2" width="8.85546875" style="16" customWidth="1"/>
    <col min="3" max="3" width="52.5703125" style="21" customWidth="1"/>
    <col min="4" max="4" width="7.85546875" style="21" customWidth="1"/>
    <col min="5" max="5" width="13.5703125" style="21" customWidth="1"/>
    <col min="6" max="6" width="15.42578125" style="21" bestFit="1" customWidth="1"/>
    <col min="7" max="16384" width="9.140625" style="16"/>
  </cols>
  <sheetData>
    <row r="1" spans="1:6" s="99" customFormat="1" ht="25.5" x14ac:dyDescent="0.5">
      <c r="B1" s="105" t="s">
        <v>102</v>
      </c>
      <c r="C1" s="16"/>
      <c r="D1" s="16"/>
      <c r="E1" s="16"/>
      <c r="F1" s="16"/>
    </row>
    <row r="2" spans="1:6" x14ac:dyDescent="0.3">
      <c r="B2" s="53" t="s">
        <v>47</v>
      </c>
      <c r="E2" s="17"/>
      <c r="F2" s="17"/>
    </row>
    <row r="3" spans="1:6" ht="33" x14ac:dyDescent="0.3">
      <c r="B3" s="1">
        <v>1</v>
      </c>
      <c r="C3" s="189" t="s">
        <v>48</v>
      </c>
      <c r="D3" s="189"/>
      <c r="E3" s="189"/>
      <c r="F3" s="4" t="s">
        <v>103</v>
      </c>
    </row>
    <row r="4" spans="1:6" x14ac:dyDescent="0.3">
      <c r="B4" s="1" t="s">
        <v>14</v>
      </c>
      <c r="C4" s="139" t="s">
        <v>104</v>
      </c>
      <c r="D4" s="140"/>
      <c r="E4" s="141"/>
      <c r="F4" s="78">
        <v>220</v>
      </c>
    </row>
    <row r="5" spans="1:6" x14ac:dyDescent="0.3">
      <c r="B5" s="1" t="s">
        <v>16</v>
      </c>
      <c r="C5" s="154" t="s">
        <v>105</v>
      </c>
      <c r="D5" s="154"/>
      <c r="E5" s="154"/>
      <c r="F5" s="80">
        <v>7</v>
      </c>
    </row>
    <row r="6" spans="1:6" x14ac:dyDescent="0.3">
      <c r="B6" s="1" t="s">
        <v>19</v>
      </c>
      <c r="C6" s="139" t="s">
        <v>106</v>
      </c>
      <c r="D6" s="140"/>
      <c r="E6" s="141"/>
      <c r="F6" s="78">
        <v>365</v>
      </c>
    </row>
    <row r="7" spans="1:6" x14ac:dyDescent="0.3">
      <c r="B7" s="1" t="s">
        <v>22</v>
      </c>
      <c r="C7" s="154" t="s">
        <v>107</v>
      </c>
      <c r="D7" s="154"/>
      <c r="E7" s="154"/>
      <c r="F7" s="81">
        <v>15.2</v>
      </c>
    </row>
    <row r="8" spans="1:6" x14ac:dyDescent="0.3">
      <c r="B8" s="1" t="s">
        <v>25</v>
      </c>
      <c r="C8" s="139" t="s">
        <v>108</v>
      </c>
      <c r="D8" s="140"/>
      <c r="E8" s="141"/>
      <c r="F8" s="78">
        <v>12</v>
      </c>
    </row>
    <row r="9" spans="1:6" x14ac:dyDescent="0.3">
      <c r="B9" s="1" t="s">
        <v>55</v>
      </c>
      <c r="C9" s="154" t="s">
        <v>109</v>
      </c>
      <c r="D9" s="154"/>
      <c r="E9" s="154"/>
      <c r="F9" s="80">
        <v>60</v>
      </c>
    </row>
    <row r="10" spans="1:6" x14ac:dyDescent="0.3">
      <c r="B10" s="1" t="s">
        <v>57</v>
      </c>
      <c r="C10" s="139" t="s">
        <v>110</v>
      </c>
      <c r="D10" s="140"/>
      <c r="E10" s="141"/>
      <c r="F10" s="79">
        <v>52.5</v>
      </c>
    </row>
    <row r="11" spans="1:6" s="106" customFormat="1" x14ac:dyDescent="0.3"/>
    <row r="12" spans="1:6" s="106" customFormat="1" x14ac:dyDescent="0.3">
      <c r="A12" s="16"/>
      <c r="B12" s="53" t="s">
        <v>59</v>
      </c>
      <c r="C12" s="99"/>
      <c r="D12" s="99"/>
      <c r="E12" s="99"/>
      <c r="F12" s="99"/>
    </row>
    <row r="13" spans="1:6" s="106" customFormat="1" ht="15" customHeight="1" x14ac:dyDescent="0.3">
      <c r="A13" s="16"/>
      <c r="B13" s="1" t="s">
        <v>60</v>
      </c>
      <c r="C13" s="190" t="s">
        <v>61</v>
      </c>
      <c r="D13" s="191"/>
      <c r="E13" s="4" t="s">
        <v>62</v>
      </c>
      <c r="F13" s="4" t="s">
        <v>111</v>
      </c>
    </row>
    <row r="14" spans="1:6" s="106" customFormat="1" x14ac:dyDescent="0.3">
      <c r="B14" s="98" t="s">
        <v>14</v>
      </c>
      <c r="C14" s="152" t="s">
        <v>112</v>
      </c>
      <c r="D14" s="152"/>
      <c r="E14" s="102" t="s">
        <v>68</v>
      </c>
      <c r="F14" s="82">
        <v>6</v>
      </c>
    </row>
    <row r="15" spans="1:6" s="106" customFormat="1" x14ac:dyDescent="0.3">
      <c r="B15" s="98" t="s">
        <v>16</v>
      </c>
      <c r="C15" s="153" t="s">
        <v>113</v>
      </c>
      <c r="D15" s="153"/>
      <c r="E15" s="110" t="s">
        <v>68</v>
      </c>
      <c r="F15" s="83">
        <v>15</v>
      </c>
    </row>
    <row r="16" spans="1:6" s="106" customFormat="1" x14ac:dyDescent="0.3">
      <c r="B16" s="98" t="s">
        <v>19</v>
      </c>
      <c r="C16" s="152" t="s">
        <v>114</v>
      </c>
      <c r="D16" s="152"/>
      <c r="E16" s="102" t="s">
        <v>68</v>
      </c>
      <c r="F16" s="82">
        <v>22</v>
      </c>
    </row>
    <row r="17" spans="1:6" s="106" customFormat="1" x14ac:dyDescent="0.3"/>
    <row r="18" spans="1:6" s="99" customFormat="1" x14ac:dyDescent="0.3">
      <c r="A18" s="106"/>
      <c r="B18" s="53" t="s">
        <v>115</v>
      </c>
      <c r="C18" s="15"/>
      <c r="D18" s="24"/>
      <c r="E18" s="22"/>
      <c r="F18" s="22"/>
    </row>
    <row r="19" spans="1:6" s="99" customFormat="1" x14ac:dyDescent="0.3">
      <c r="A19" s="106"/>
      <c r="B19" s="1">
        <v>3</v>
      </c>
      <c r="C19" s="177" t="s">
        <v>116</v>
      </c>
      <c r="D19" s="178"/>
      <c r="E19" s="179"/>
      <c r="F19" s="4" t="s">
        <v>111</v>
      </c>
    </row>
    <row r="20" spans="1:6" s="99" customFormat="1" x14ac:dyDescent="0.3">
      <c r="A20" s="106"/>
      <c r="B20" s="1" t="s">
        <v>14</v>
      </c>
      <c r="C20" s="170" t="s">
        <v>117</v>
      </c>
      <c r="D20" s="171"/>
      <c r="E20" s="172"/>
      <c r="F20" s="60">
        <v>62.93</v>
      </c>
    </row>
    <row r="21" spans="1:6" x14ac:dyDescent="0.3">
      <c r="A21" s="106"/>
      <c r="B21" s="2" t="s">
        <v>16</v>
      </c>
      <c r="C21" s="192" t="s">
        <v>118</v>
      </c>
      <c r="D21" s="193"/>
      <c r="E21" s="194"/>
      <c r="F21" s="38">
        <v>5.55</v>
      </c>
    </row>
    <row r="22" spans="1:6" s="99" customFormat="1" ht="15.95" customHeight="1" x14ac:dyDescent="0.15">
      <c r="B22" s="2" t="s">
        <v>19</v>
      </c>
      <c r="C22" s="170" t="s">
        <v>119</v>
      </c>
      <c r="D22" s="171"/>
      <c r="E22" s="172"/>
      <c r="F22" s="82">
        <v>40</v>
      </c>
    </row>
    <row r="23" spans="1:6" ht="16.5" customHeight="1" x14ac:dyDescent="0.3">
      <c r="A23" s="106"/>
      <c r="B23" s="2" t="s">
        <v>22</v>
      </c>
      <c r="C23" s="192" t="s">
        <v>120</v>
      </c>
      <c r="D23" s="193"/>
      <c r="E23" s="194"/>
      <c r="F23" s="38">
        <v>94.45</v>
      </c>
    </row>
    <row r="24" spans="1:6" x14ac:dyDescent="0.3">
      <c r="A24" s="106"/>
      <c r="B24" s="2" t="s">
        <v>25</v>
      </c>
      <c r="C24" s="170" t="s">
        <v>121</v>
      </c>
      <c r="D24" s="171"/>
      <c r="E24" s="172"/>
      <c r="F24" s="82">
        <v>30</v>
      </c>
    </row>
    <row r="25" spans="1:6" s="106" customFormat="1" x14ac:dyDescent="0.3"/>
    <row r="26" spans="1:6" s="99" customFormat="1" x14ac:dyDescent="0.3">
      <c r="B26" s="53" t="s">
        <v>71</v>
      </c>
      <c r="C26" s="15"/>
      <c r="D26" s="24"/>
      <c r="E26" s="16"/>
      <c r="F26" s="16"/>
    </row>
    <row r="27" spans="1:6" s="99" customFormat="1" ht="15" customHeight="1" x14ac:dyDescent="0.3">
      <c r="B27" s="53" t="s">
        <v>72</v>
      </c>
      <c r="C27" s="15"/>
      <c r="D27" s="24"/>
      <c r="E27" s="22"/>
      <c r="F27" s="22"/>
    </row>
    <row r="28" spans="1:6" s="99" customFormat="1" x14ac:dyDescent="0.15">
      <c r="B28" s="1" t="s">
        <v>73</v>
      </c>
      <c r="C28" s="185" t="s">
        <v>74</v>
      </c>
      <c r="D28" s="186"/>
      <c r="E28" s="187"/>
      <c r="F28" s="4" t="s">
        <v>111</v>
      </c>
    </row>
    <row r="29" spans="1:6" s="99" customFormat="1" x14ac:dyDescent="0.15">
      <c r="B29" s="1" t="s">
        <v>14</v>
      </c>
      <c r="C29" s="170" t="s">
        <v>122</v>
      </c>
      <c r="D29" s="171"/>
      <c r="E29" s="172"/>
      <c r="F29" s="82">
        <v>8</v>
      </c>
    </row>
    <row r="30" spans="1:6" x14ac:dyDescent="0.3">
      <c r="A30" s="99"/>
      <c r="B30" s="2" t="s">
        <v>16</v>
      </c>
      <c r="C30" s="139" t="s">
        <v>123</v>
      </c>
      <c r="D30" s="140"/>
      <c r="E30" s="141"/>
      <c r="F30" s="83">
        <v>20</v>
      </c>
    </row>
    <row r="31" spans="1:6" x14ac:dyDescent="0.3">
      <c r="A31" s="99"/>
      <c r="B31" s="2" t="s">
        <v>19</v>
      </c>
      <c r="C31" s="170" t="s">
        <v>124</v>
      </c>
      <c r="D31" s="171"/>
      <c r="E31" s="172"/>
      <c r="F31" s="60">
        <v>1.42</v>
      </c>
    </row>
    <row r="32" spans="1:6" x14ac:dyDescent="0.3">
      <c r="A32" s="99"/>
      <c r="B32" s="2" t="s">
        <v>22</v>
      </c>
      <c r="C32" s="139" t="s">
        <v>125</v>
      </c>
      <c r="D32" s="140"/>
      <c r="E32" s="141"/>
      <c r="F32" s="38">
        <v>86.46</v>
      </c>
    </row>
    <row r="33" spans="1:6" s="99" customFormat="1" ht="15.95" customHeight="1" x14ac:dyDescent="0.3">
      <c r="A33" s="16"/>
      <c r="B33" s="2" t="s">
        <v>25</v>
      </c>
      <c r="C33" s="170" t="s">
        <v>126</v>
      </c>
      <c r="D33" s="171"/>
      <c r="E33" s="172"/>
      <c r="F33" s="60">
        <f>(154800/34808000)*100</f>
        <v>0.44</v>
      </c>
    </row>
    <row r="34" spans="1:6" ht="15.75" customHeight="1" x14ac:dyDescent="0.3">
      <c r="A34" s="99"/>
      <c r="B34" s="2" t="s">
        <v>55</v>
      </c>
      <c r="C34" s="139" t="s">
        <v>127</v>
      </c>
      <c r="D34" s="140"/>
      <c r="E34" s="141"/>
      <c r="F34" s="83">
        <v>15</v>
      </c>
    </row>
    <row r="35" spans="1:6" ht="15.75" customHeight="1" x14ac:dyDescent="0.3">
      <c r="A35" s="99"/>
      <c r="B35" s="2" t="s">
        <v>57</v>
      </c>
      <c r="C35" s="170" t="s">
        <v>128</v>
      </c>
      <c r="D35" s="171"/>
      <c r="E35" s="172"/>
      <c r="F35" s="82">
        <v>180</v>
      </c>
    </row>
    <row r="36" spans="1:6" x14ac:dyDescent="0.3">
      <c r="A36" s="99"/>
      <c r="B36" s="2" t="s">
        <v>129</v>
      </c>
      <c r="C36" s="139" t="s">
        <v>130</v>
      </c>
      <c r="D36" s="140"/>
      <c r="E36" s="141"/>
      <c r="F36" s="38">
        <v>13.54</v>
      </c>
    </row>
    <row r="37" spans="1:6" s="106" customFormat="1" ht="8.25" customHeight="1" x14ac:dyDescent="0.3"/>
    <row r="38" spans="1:6" x14ac:dyDescent="0.3">
      <c r="B38" s="53" t="s">
        <v>131</v>
      </c>
      <c r="C38" s="15"/>
      <c r="D38" s="24"/>
      <c r="E38" s="22"/>
      <c r="F38" s="22"/>
    </row>
    <row r="39" spans="1:6" x14ac:dyDescent="0.3">
      <c r="B39" s="1" t="s">
        <v>78</v>
      </c>
      <c r="C39" s="188" t="s">
        <v>132</v>
      </c>
      <c r="D39" s="188"/>
      <c r="E39" s="188"/>
      <c r="F39" s="4" t="s">
        <v>133</v>
      </c>
    </row>
    <row r="40" spans="1:6" x14ac:dyDescent="0.3">
      <c r="B40" s="1" t="s">
        <v>14</v>
      </c>
      <c r="C40" s="154" t="s">
        <v>81</v>
      </c>
      <c r="D40" s="154"/>
      <c r="E40" s="154"/>
      <c r="F40" s="80">
        <f>PERC_HORA_EXTRA</f>
        <v>50</v>
      </c>
    </row>
    <row r="41" spans="1:6" ht="15" customHeight="1" x14ac:dyDescent="0.3">
      <c r="B41" s="1" t="s">
        <v>16</v>
      </c>
      <c r="C41" s="139" t="s">
        <v>82</v>
      </c>
      <c r="D41" s="140"/>
      <c r="E41" s="141"/>
      <c r="F41" s="78">
        <f>TEMPO_INTERVALO_REFEICAO</f>
        <v>60</v>
      </c>
    </row>
    <row r="42" spans="1:6" s="106" customFormat="1" x14ac:dyDescent="0.3"/>
    <row r="43" spans="1:6" ht="20.25" x14ac:dyDescent="0.3">
      <c r="B43" s="35" t="s">
        <v>100</v>
      </c>
      <c r="C43" s="36"/>
      <c r="D43" s="36"/>
      <c r="E43" s="36"/>
      <c r="F43" s="37"/>
    </row>
    <row r="44" spans="1:6" ht="33.75" customHeight="1" x14ac:dyDescent="0.3">
      <c r="B44" s="169" t="s">
        <v>101</v>
      </c>
      <c r="C44" s="169"/>
      <c r="D44" s="169"/>
      <c r="E44" s="169"/>
      <c r="F44" s="169"/>
    </row>
  </sheetData>
  <sheetProtection sheet="1" objects="1" scenarios="1"/>
  <mergeCells count="31">
    <mergeCell ref="B44:F44"/>
    <mergeCell ref="C39:E39"/>
    <mergeCell ref="C40:E40"/>
    <mergeCell ref="C41:E41"/>
    <mergeCell ref="C32:E32"/>
    <mergeCell ref="C33:E33"/>
    <mergeCell ref="C34:E34"/>
    <mergeCell ref="C35:E35"/>
    <mergeCell ref="C36:E36"/>
    <mergeCell ref="C31:E31"/>
    <mergeCell ref="C19:E19"/>
    <mergeCell ref="C20:E20"/>
    <mergeCell ref="C21:E21"/>
    <mergeCell ref="C22:E22"/>
    <mergeCell ref="C23:E23"/>
    <mergeCell ref="C24:E24"/>
    <mergeCell ref="C28:E28"/>
    <mergeCell ref="C29:E29"/>
    <mergeCell ref="C30:E30"/>
    <mergeCell ref="C14:D14"/>
    <mergeCell ref="C15:D15"/>
    <mergeCell ref="C16:D16"/>
    <mergeCell ref="C13:D13"/>
    <mergeCell ref="C8:E8"/>
    <mergeCell ref="C9:E9"/>
    <mergeCell ref="C10:E10"/>
    <mergeCell ref="C4:E4"/>
    <mergeCell ref="C5:E5"/>
    <mergeCell ref="C6:E6"/>
    <mergeCell ref="C7:E7"/>
    <mergeCell ref="C3:E3"/>
  </mergeCells>
  <dataValidations count="2">
    <dataValidation errorStyle="information" allowBlank="1" showInputMessage="1" showErrorMessage="1" promptTitle="Intervalo Intrajornada" prompt="Segundo estudos da Audin-MPU, esse item não é usual nas planilhas do MPU. Verifique se realmente há necessidade de incluí-lo." sqref="F40" xr:uid="{00000000-0002-0000-0100-000000000000}"/>
    <dataValidation allowBlank="1" showInputMessage="1" showErrorMessage="1" promptTitle="Intervalo Intrajornada" prompt="Segundo estudos da Audin-MPU, esse item não é usual nas planilhas do MPU. Verifique se realmente há necessidade de incluí-lo." sqref="F41" xr:uid="{00000000-0002-0000-0100-000001000000}"/>
  </dataValidation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4"/>
  <sheetViews>
    <sheetView workbookViewId="0">
      <selection activeCell="C12" sqref="C12:D12"/>
    </sheetView>
  </sheetViews>
  <sheetFormatPr defaultColWidth="9.140625" defaultRowHeight="16.5" x14ac:dyDescent="0.3"/>
  <cols>
    <col min="1" max="1" width="2.7109375" style="16" customWidth="1"/>
    <col min="2" max="2" width="8.85546875" style="16" customWidth="1"/>
    <col min="3" max="3" width="52.5703125" style="21" customWidth="1"/>
    <col min="4" max="4" width="22" style="21" customWidth="1"/>
    <col min="5" max="5" width="7.85546875" style="21" customWidth="1"/>
    <col min="6" max="6" width="46.28515625" style="16" customWidth="1"/>
    <col min="7" max="16384" width="9.140625" style="16"/>
  </cols>
  <sheetData>
    <row r="1" spans="2:6" s="99" customFormat="1" ht="25.5" x14ac:dyDescent="0.5">
      <c r="B1" s="105" t="s">
        <v>134</v>
      </c>
      <c r="C1" s="16"/>
      <c r="D1" s="16"/>
      <c r="E1" s="16"/>
      <c r="F1" s="16"/>
    </row>
    <row r="2" spans="2:6" x14ac:dyDescent="0.3">
      <c r="B2" s="53" t="s">
        <v>135</v>
      </c>
      <c r="E2" s="23"/>
    </row>
    <row r="3" spans="2:6" x14ac:dyDescent="0.3">
      <c r="B3" s="53" t="s">
        <v>136</v>
      </c>
      <c r="C3" s="15"/>
      <c r="D3" s="24"/>
      <c r="E3" s="22"/>
    </row>
    <row r="4" spans="2:6" x14ac:dyDescent="0.3">
      <c r="B4" s="1" t="s">
        <v>137</v>
      </c>
      <c r="C4" s="188" t="s">
        <v>138</v>
      </c>
      <c r="D4" s="188"/>
      <c r="E4" s="4" t="s">
        <v>75</v>
      </c>
      <c r="F4" s="4" t="s">
        <v>139</v>
      </c>
    </row>
    <row r="5" spans="2:6" x14ac:dyDescent="0.3">
      <c r="B5" s="1" t="s">
        <v>14</v>
      </c>
      <c r="C5" s="195" t="s">
        <v>140</v>
      </c>
      <c r="D5" s="195"/>
      <c r="E5" s="61">
        <f>(1/MESES_NO_ANO)*100</f>
        <v>8.33</v>
      </c>
      <c r="F5" s="61" t="s">
        <v>141</v>
      </c>
    </row>
    <row r="6" spans="2:6" x14ac:dyDescent="0.3">
      <c r="B6" s="2" t="s">
        <v>16</v>
      </c>
      <c r="C6" s="196" t="s">
        <v>142</v>
      </c>
      <c r="D6" s="196"/>
      <c r="E6" s="40">
        <f>(1/3)/MESES_NO_ANO*100</f>
        <v>2.78</v>
      </c>
      <c r="F6" s="40" t="s">
        <v>143</v>
      </c>
    </row>
    <row r="7" spans="2:6" s="106" customFormat="1" ht="16.5" customHeight="1" x14ac:dyDescent="0.3">
      <c r="B7" s="197" t="s">
        <v>144</v>
      </c>
      <c r="C7" s="197"/>
      <c r="D7" s="197"/>
      <c r="E7" s="197"/>
      <c r="F7" s="197"/>
    </row>
    <row r="8" spans="2:6" s="106" customFormat="1" x14ac:dyDescent="0.3">
      <c r="B8" s="1" t="s">
        <v>145</v>
      </c>
      <c r="C8" s="201" t="s">
        <v>146</v>
      </c>
      <c r="D8" s="201"/>
      <c r="E8" s="4" t="s">
        <v>75</v>
      </c>
    </row>
    <row r="9" spans="2:6" x14ac:dyDescent="0.3">
      <c r="B9" s="1" t="s">
        <v>14</v>
      </c>
      <c r="C9" s="195" t="s">
        <v>147</v>
      </c>
      <c r="D9" s="195"/>
      <c r="E9" s="61">
        <v>20</v>
      </c>
    </row>
    <row r="10" spans="2:6" s="99" customFormat="1" x14ac:dyDescent="0.15">
      <c r="B10" s="2" t="s">
        <v>16</v>
      </c>
      <c r="C10" s="196" t="s">
        <v>148</v>
      </c>
      <c r="D10" s="196"/>
      <c r="E10" s="48">
        <v>2.5</v>
      </c>
    </row>
    <row r="11" spans="2:6" s="99" customFormat="1" x14ac:dyDescent="0.15">
      <c r="B11" s="2" t="s">
        <v>19</v>
      </c>
      <c r="C11" s="195" t="s">
        <v>149</v>
      </c>
      <c r="D11" s="195"/>
      <c r="E11" s="61">
        <v>3</v>
      </c>
    </row>
    <row r="12" spans="2:6" s="99" customFormat="1" x14ac:dyDescent="0.15">
      <c r="B12" s="2" t="s">
        <v>22</v>
      </c>
      <c r="C12" s="196" t="s">
        <v>150</v>
      </c>
      <c r="D12" s="196"/>
      <c r="E12" s="40">
        <v>1.5</v>
      </c>
    </row>
    <row r="13" spans="2:6" s="99" customFormat="1" x14ac:dyDescent="0.15">
      <c r="B13" s="2" t="s">
        <v>25</v>
      </c>
      <c r="C13" s="195" t="s">
        <v>151</v>
      </c>
      <c r="D13" s="195"/>
      <c r="E13" s="61">
        <v>1</v>
      </c>
    </row>
    <row r="14" spans="2:6" s="99" customFormat="1" x14ac:dyDescent="0.15">
      <c r="B14" s="2" t="s">
        <v>55</v>
      </c>
      <c r="C14" s="196" t="s">
        <v>152</v>
      </c>
      <c r="D14" s="196"/>
      <c r="E14" s="48">
        <v>0.6</v>
      </c>
    </row>
    <row r="15" spans="2:6" s="99" customFormat="1" x14ac:dyDescent="0.15">
      <c r="B15" s="2" t="s">
        <v>57</v>
      </c>
      <c r="C15" s="195" t="s">
        <v>153</v>
      </c>
      <c r="D15" s="195"/>
      <c r="E15" s="61">
        <v>0.2</v>
      </c>
    </row>
    <row r="16" spans="2:6" x14ac:dyDescent="0.3">
      <c r="B16" s="2" t="s">
        <v>129</v>
      </c>
      <c r="C16" s="196" t="s">
        <v>154</v>
      </c>
      <c r="D16" s="196"/>
      <c r="E16" s="48">
        <v>8</v>
      </c>
    </row>
    <row r="17" spans="2:6" x14ac:dyDescent="0.3">
      <c r="B17" s="188" t="s">
        <v>155</v>
      </c>
      <c r="C17" s="188"/>
      <c r="D17" s="188"/>
      <c r="E17" s="41">
        <f>SUM(E9:E16)</f>
        <v>36.799999999999997</v>
      </c>
    </row>
    <row r="18" spans="2:6" s="106" customFormat="1" x14ac:dyDescent="0.3">
      <c r="B18" s="53" t="s">
        <v>115</v>
      </c>
      <c r="C18" s="15"/>
      <c r="D18" s="24"/>
      <c r="E18" s="22"/>
    </row>
    <row r="19" spans="2:6" s="106" customFormat="1" x14ac:dyDescent="0.3">
      <c r="B19" s="1">
        <v>3</v>
      </c>
      <c r="C19" s="188" t="s">
        <v>116</v>
      </c>
      <c r="D19" s="188"/>
      <c r="E19" s="4" t="s">
        <v>75</v>
      </c>
      <c r="F19" s="4" t="s">
        <v>139</v>
      </c>
    </row>
    <row r="20" spans="2:6" s="106" customFormat="1" x14ac:dyDescent="0.3">
      <c r="B20" s="1" t="s">
        <v>14</v>
      </c>
      <c r="C20" s="198" t="s">
        <v>156</v>
      </c>
      <c r="D20" s="198"/>
      <c r="E20" s="61">
        <f>PERC_EMPREG_DEMIT_SEM_JUSTA_CAUSA_TOTAL_DESLIG%*PERC_EMPREG_AVISO_PREVIO_IND%*1/MESES_NO_ANO*100</f>
        <v>0.28999999999999998</v>
      </c>
      <c r="F20" s="61" t="s">
        <v>157</v>
      </c>
    </row>
    <row r="21" spans="2:6" s="106" customFormat="1" x14ac:dyDescent="0.3">
      <c r="B21" s="2" t="s">
        <v>16</v>
      </c>
      <c r="C21" s="200" t="s">
        <v>158</v>
      </c>
      <c r="D21" s="200"/>
      <c r="E21" s="48">
        <f>PERC_EMPREG_DEMIT_SEM_JUSTA_CAUSA_TOTAL_DESLIG%*PERC_EMPREG_AVISO_PREVIO_TRAB%*(DIAS_NA_SEMANA/DIAS_NO_MES)/MESES_NO_ANO*100</f>
        <v>1.1599999999999999</v>
      </c>
      <c r="F21" s="40" t="s">
        <v>159</v>
      </c>
    </row>
    <row r="22" spans="2:6" s="99" customFormat="1" ht="16.5" customHeight="1" x14ac:dyDescent="0.15">
      <c r="B22" s="2" t="s">
        <v>19</v>
      </c>
      <c r="C22" s="198" t="s">
        <v>160</v>
      </c>
      <c r="D22" s="198"/>
      <c r="E22" s="61">
        <f>ROUNDUP(PERC_AVISO_PREVIO_TRAB%*(PERC_MULTA_FGTS%)*PERC_FGTS%*100,2)</f>
        <v>0.04</v>
      </c>
      <c r="F22" s="61" t="s">
        <v>161</v>
      </c>
    </row>
    <row r="23" spans="2:6" s="99" customFormat="1" x14ac:dyDescent="0.3">
      <c r="B23" s="53" t="s">
        <v>71</v>
      </c>
      <c r="C23" s="15"/>
      <c r="D23" s="24"/>
      <c r="E23" s="16"/>
    </row>
    <row r="24" spans="2:6" s="99" customFormat="1" x14ac:dyDescent="0.3">
      <c r="B24" s="53" t="s">
        <v>72</v>
      </c>
      <c r="C24" s="15"/>
      <c r="D24" s="24"/>
      <c r="E24" s="22"/>
    </row>
    <row r="25" spans="2:6" s="99" customFormat="1" x14ac:dyDescent="0.15">
      <c r="B25" s="1" t="s">
        <v>73</v>
      </c>
      <c r="C25" s="199" t="s">
        <v>74</v>
      </c>
      <c r="D25" s="199"/>
      <c r="E25" s="4" t="s">
        <v>75</v>
      </c>
      <c r="F25" s="4" t="s">
        <v>139</v>
      </c>
    </row>
    <row r="26" spans="2:6" s="99" customFormat="1" x14ac:dyDescent="0.15">
      <c r="B26" s="2" t="s">
        <v>14</v>
      </c>
      <c r="C26" s="195" t="s">
        <v>162</v>
      </c>
      <c r="D26" s="195"/>
      <c r="E26" s="61">
        <f>(1/MESES_NO_ANO)*100</f>
        <v>8.33</v>
      </c>
      <c r="F26" s="61" t="s">
        <v>163</v>
      </c>
    </row>
    <row r="27" spans="2:6" s="99" customFormat="1" x14ac:dyDescent="0.15">
      <c r="B27" s="2" t="s">
        <v>16</v>
      </c>
      <c r="C27" s="96" t="s">
        <v>164</v>
      </c>
      <c r="D27" s="96"/>
      <c r="E27" s="48">
        <f>(DIAS_AUSENCIAS_LEGAIS/DIAS_NO_MES)/MESES_NO_ANO*100</f>
        <v>2.2200000000000002</v>
      </c>
      <c r="F27" s="40" t="s">
        <v>165</v>
      </c>
    </row>
    <row r="28" spans="2:6" s="99" customFormat="1" x14ac:dyDescent="0.15">
      <c r="B28" s="2" t="s">
        <v>19</v>
      </c>
      <c r="C28" s="195" t="s">
        <v>166</v>
      </c>
      <c r="D28" s="195"/>
      <c r="E28" s="61">
        <f>(((DIAS_LICENCA_PATERNIDADE/DIAS_NO_MES)/MESES_NO_ANO)*PERC_NASCIDOS_VIVOS_POPUL_FEM%*PERC_PARTIC_MASC_VIGIL%)*100</f>
        <v>7.0000000000000007E-2</v>
      </c>
      <c r="F28" s="61" t="s">
        <v>167</v>
      </c>
    </row>
    <row r="29" spans="2:6" s="99" customFormat="1" x14ac:dyDescent="0.15">
      <c r="B29" s="2" t="s">
        <v>22</v>
      </c>
      <c r="C29" s="196" t="s">
        <v>168</v>
      </c>
      <c r="D29" s="196"/>
      <c r="E29" s="48">
        <f>(DIAS_PAGOS_EMPRESA_ACID_TRAB/DIAS_NO_MES)/MESES_NO_ANO*PERC_EMPREG_AFAST_TRAB%*100</f>
        <v>0.02</v>
      </c>
      <c r="F29" s="40" t="s">
        <v>169</v>
      </c>
    </row>
    <row r="30" spans="2:6" s="99" customFormat="1" x14ac:dyDescent="0.15">
      <c r="B30" s="2" t="s">
        <v>25</v>
      </c>
      <c r="C30" s="195" t="s">
        <v>170</v>
      </c>
      <c r="D30" s="195"/>
      <c r="E30" s="61">
        <f>(((DIAS_LICENCA_MATERNIDADE/DIAS_NO_MES)/MESES_NO_ANO)*PERC_NASCIDOS_VIVOS_POPUL_FEM%*PERC_PARTIC_FEM_VIGIL%*PERC_GPS_FGTS%*100)</f>
        <v>0.04</v>
      </c>
      <c r="F30" s="61" t="s">
        <v>171</v>
      </c>
    </row>
    <row r="31" spans="2:6" s="99" customFormat="1" x14ac:dyDescent="0.15">
      <c r="B31" s="2" t="s">
        <v>55</v>
      </c>
      <c r="C31" s="196" t="str">
        <f>OUTRAS_AUSENCIAS_DESCRICAO</f>
        <v>Outras Ausências (Especificar - em %)</v>
      </c>
      <c r="D31" s="196"/>
      <c r="E31" s="48">
        <f>PERC_SUBSTITUTO_OUTRAS_AUSENCIAS</f>
        <v>0</v>
      </c>
      <c r="F31" s="40"/>
    </row>
    <row r="33" spans="2:6" ht="20.25" x14ac:dyDescent="0.3">
      <c r="B33" s="35" t="s">
        <v>100</v>
      </c>
    </row>
    <row r="34" spans="2:6" ht="37.5" customHeight="1" x14ac:dyDescent="0.3">
      <c r="B34" s="169" t="s">
        <v>172</v>
      </c>
      <c r="C34" s="169"/>
      <c r="D34" s="169"/>
      <c r="E34" s="169"/>
      <c r="F34" s="169"/>
    </row>
  </sheetData>
  <sheetProtection algorithmName="SHA-512" hashValue="PU0Klt0QF/Cz52n7ZOmPz2skqUV+tt780NpjaUNqiE752x5DCZfDXqdBCI+eycwWVAKC9GnGrNhwZE4MrcPSvA==" saltValue="RmKWUcQnr9zEjUbqDvWnKw==" spinCount="100000" sheet="1" objects="1" scenarios="1"/>
  <mergeCells count="25">
    <mergeCell ref="B34:F34"/>
    <mergeCell ref="B7:F7"/>
    <mergeCell ref="C29:D29"/>
    <mergeCell ref="C30:D30"/>
    <mergeCell ref="C22:D22"/>
    <mergeCell ref="C25:D25"/>
    <mergeCell ref="C26:D26"/>
    <mergeCell ref="C21:D21"/>
    <mergeCell ref="C16:D16"/>
    <mergeCell ref="B17:D17"/>
    <mergeCell ref="C28:D28"/>
    <mergeCell ref="C31:D31"/>
    <mergeCell ref="C8:D8"/>
    <mergeCell ref="C9:D9"/>
    <mergeCell ref="C20:D20"/>
    <mergeCell ref="C12:D12"/>
    <mergeCell ref="C13:D13"/>
    <mergeCell ref="C14:D14"/>
    <mergeCell ref="C15:D15"/>
    <mergeCell ref="C19:D19"/>
    <mergeCell ref="C4:D4"/>
    <mergeCell ref="C5:D5"/>
    <mergeCell ref="C6:D6"/>
    <mergeCell ref="C10:D10"/>
    <mergeCell ref="C11:D11"/>
  </mergeCells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20" xr:uid="{00000000-0002-0000-0200-000000000000}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21" xr:uid="{00000000-0002-0000-0200-000001000000}">
      <formula1>0</formula1>
      <formula2>1.94</formula2>
    </dataValidation>
  </dataValidations>
  <pageMargins left="0.18" right="0.17" top="0.23" bottom="0.08" header="0.31496062000000002" footer="0.06"/>
  <pageSetup paperSize="9" scale="99" orientation="landscape" r:id="rId1"/>
  <ignoredErrors>
    <ignoredError sqref="E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1E9A-D2BF-45C4-9ED0-6EFBE5D647C0}">
  <sheetPr>
    <pageSetUpPr fitToPage="1"/>
  </sheetPr>
  <dimension ref="B1:H105"/>
  <sheetViews>
    <sheetView topLeftCell="A83" workbookViewId="0">
      <selection activeCell="F66" sqref="F66"/>
    </sheetView>
  </sheetViews>
  <sheetFormatPr defaultColWidth="9.140625" defaultRowHeight="16.5" x14ac:dyDescent="0.3"/>
  <cols>
    <col min="1" max="1" width="2.7109375" style="16" customWidth="1"/>
    <col min="2" max="2" width="8.85546875" style="16" customWidth="1"/>
    <col min="3" max="3" width="52.5703125" style="21" customWidth="1"/>
    <col min="4" max="4" width="7.85546875" style="21" customWidth="1"/>
    <col min="5" max="5" width="13.5703125" style="21" customWidth="1"/>
    <col min="6" max="6" width="15.42578125" style="21" bestFit="1" customWidth="1"/>
    <col min="7" max="7" width="9.140625" style="16"/>
    <col min="8" max="8" width="65.28515625" style="16" customWidth="1"/>
    <col min="9" max="10" width="12.5703125" style="16" bestFit="1" customWidth="1"/>
    <col min="11" max="16384" width="9.140625" style="16"/>
  </cols>
  <sheetData>
    <row r="1" spans="2:6" ht="20.25" x14ac:dyDescent="0.35">
      <c r="B1" s="222" t="str">
        <f>RAMO</f>
        <v>RAMO: ESCOLA SUPERIOR DO MINISTÉRIO PÚBLICO DA UNIÃO</v>
      </c>
      <c r="C1" s="223"/>
      <c r="D1" s="223"/>
      <c r="E1" s="223"/>
      <c r="F1" s="224"/>
    </row>
    <row r="2" spans="2:6" ht="20.25" x14ac:dyDescent="0.35">
      <c r="B2" s="225" t="str">
        <f>UG</f>
        <v>UNIDADE GESTORA (SIGLA): ESMPU</v>
      </c>
      <c r="C2" s="226"/>
      <c r="D2" s="227"/>
      <c r="E2" s="111" t="s">
        <v>2</v>
      </c>
      <c r="F2" s="112" t="str">
        <f>DATA_DO_ORCAMENTO_ESTIMATIVO</f>
        <v>XX/XX/20XX</v>
      </c>
    </row>
    <row r="3" spans="2:6" s="99" customFormat="1" ht="25.5" x14ac:dyDescent="0.5">
      <c r="B3" s="158" t="s">
        <v>173</v>
      </c>
      <c r="C3" s="158"/>
      <c r="D3" s="158"/>
      <c r="E3" s="158"/>
      <c r="F3" s="158"/>
    </row>
    <row r="4" spans="2:6" s="99" customFormat="1" ht="15.95" customHeight="1" x14ac:dyDescent="0.3">
      <c r="B4" s="144" t="s">
        <v>5</v>
      </c>
      <c r="C4" s="144"/>
      <c r="D4" s="144"/>
      <c r="E4" s="144"/>
      <c r="F4" s="144"/>
    </row>
    <row r="5" spans="2:6" s="99" customFormat="1" ht="15.95" customHeight="1" x14ac:dyDescent="0.3">
      <c r="B5" s="142" t="s">
        <v>174</v>
      </c>
      <c r="C5" s="142"/>
      <c r="D5" s="228" t="str">
        <f>NUMERO_PROCESSO</f>
        <v>0.01.000.1.002991/2024-69</v>
      </c>
      <c r="E5" s="228"/>
      <c r="F5" s="228"/>
    </row>
    <row r="6" spans="2:6" s="99" customFormat="1" ht="15.75" customHeight="1" x14ac:dyDescent="0.3">
      <c r="B6" s="168" t="s">
        <v>175</v>
      </c>
      <c r="C6" s="168"/>
      <c r="D6" s="218" t="str">
        <f>MODALIDADE_DE_LICITACAO</f>
        <v>Pregão nº</v>
      </c>
      <c r="E6" s="218"/>
      <c r="F6" s="116" t="str">
        <f>NUMERO_PREGAO</f>
        <v>XX/20XX</v>
      </c>
    </row>
    <row r="7" spans="2:6" s="99" customFormat="1" ht="15.75" customHeight="1" x14ac:dyDescent="0.3">
      <c r="B7" s="219" t="s">
        <v>176</v>
      </c>
      <c r="C7" s="219"/>
      <c r="D7" s="219"/>
      <c r="E7" s="219"/>
      <c r="F7" s="219"/>
    </row>
    <row r="8" spans="2:6" s="99" customFormat="1" ht="18" customHeight="1" x14ac:dyDescent="0.3">
      <c r="B8" s="27" t="s">
        <v>14</v>
      </c>
      <c r="C8" s="142" t="s">
        <v>15</v>
      </c>
      <c r="D8" s="142"/>
      <c r="E8" s="142"/>
      <c r="F8" s="117" t="str">
        <f>DATA_APRESENTACAO_PROPOSTA</f>
        <v>XX/XX/20XX</v>
      </c>
    </row>
    <row r="9" spans="2:6" s="99" customFormat="1" ht="15.95" customHeight="1" x14ac:dyDescent="0.15">
      <c r="B9" s="1" t="s">
        <v>16</v>
      </c>
      <c r="C9" s="69" t="s">
        <v>17</v>
      </c>
      <c r="D9" s="220" t="str">
        <f>IF(LOCAL_DE_EXECUCAO="","",LOCAL_DE_EXECUCAO)</f>
        <v>Sede da ESMPU</v>
      </c>
      <c r="E9" s="220"/>
      <c r="F9" s="220"/>
    </row>
    <row r="10" spans="2:6" s="99" customFormat="1" ht="18.75" customHeight="1" x14ac:dyDescent="0.3">
      <c r="B10" s="27" t="s">
        <v>19</v>
      </c>
      <c r="C10" s="142" t="s">
        <v>23</v>
      </c>
      <c r="D10" s="142"/>
      <c r="E10" s="142"/>
      <c r="F10" s="118" t="str">
        <f>ACORDO_COLETIVO</f>
        <v>01/2024</v>
      </c>
    </row>
    <row r="11" spans="2:6" s="99" customFormat="1" ht="15.95" customHeight="1" x14ac:dyDescent="0.3">
      <c r="B11" s="1" t="s">
        <v>22</v>
      </c>
      <c r="C11" s="220" t="s">
        <v>26</v>
      </c>
      <c r="D11" s="220"/>
      <c r="E11" s="220"/>
      <c r="F11" s="110">
        <f>NUMERO_MESES_EXEC_CONTRATUAL</f>
        <v>12</v>
      </c>
    </row>
    <row r="12" spans="2:6" s="99" customFormat="1" x14ac:dyDescent="0.3">
      <c r="B12" s="1" t="s">
        <v>25</v>
      </c>
      <c r="C12" s="221" t="s">
        <v>177</v>
      </c>
      <c r="D12" s="221"/>
      <c r="E12" s="221"/>
      <c r="F12" s="102">
        <f>IF(QTDE_DE_POSTOS_12X36_DIU=0,"",QTDE_DE_POSTOS_12X36_DIU)</f>
        <v>2</v>
      </c>
    </row>
    <row r="13" spans="2:6" s="99" customFormat="1" ht="7.5" customHeight="1" x14ac:dyDescent="0.3">
      <c r="B13" s="119"/>
      <c r="C13" s="120"/>
      <c r="D13" s="120"/>
      <c r="E13" s="120"/>
      <c r="F13" s="20"/>
    </row>
    <row r="14" spans="2:6" s="99" customFormat="1" ht="21" customHeight="1" x14ac:dyDescent="0.5">
      <c r="B14" s="105" t="s">
        <v>46</v>
      </c>
      <c r="C14" s="16"/>
      <c r="D14" s="16"/>
      <c r="E14" s="16"/>
      <c r="F14" s="16"/>
    </row>
    <row r="15" spans="2:6" s="99" customFormat="1" x14ac:dyDescent="0.3">
      <c r="B15" s="27">
        <v>1</v>
      </c>
      <c r="C15" s="152" t="s">
        <v>38</v>
      </c>
      <c r="D15" s="152"/>
      <c r="E15" s="151" t="str">
        <f>TIPO_DE_SERVICO</f>
        <v>Vigilância</v>
      </c>
      <c r="F15" s="151"/>
    </row>
    <row r="16" spans="2:6" s="99" customFormat="1" x14ac:dyDescent="0.3">
      <c r="B16" s="27">
        <v>2</v>
      </c>
      <c r="C16" s="29" t="s">
        <v>40</v>
      </c>
      <c r="D16" s="149" t="str">
        <f>CBO</f>
        <v>5173-30</v>
      </c>
      <c r="E16" s="149"/>
      <c r="F16" s="149"/>
    </row>
    <row r="17" spans="2:6" s="99" customFormat="1" ht="15" customHeight="1" x14ac:dyDescent="0.3">
      <c r="B17" s="27">
        <v>3</v>
      </c>
      <c r="C17" s="58" t="s">
        <v>42</v>
      </c>
      <c r="D17" s="151" t="str">
        <f>CATEGORIA_PROFISSIONAL</f>
        <v>Vigilante</v>
      </c>
      <c r="E17" s="151"/>
      <c r="F17" s="151"/>
    </row>
    <row r="18" spans="2:6" s="99" customFormat="1" ht="15" customHeight="1" x14ac:dyDescent="0.3">
      <c r="B18" s="27">
        <v>4</v>
      </c>
      <c r="C18" s="153" t="s">
        <v>44</v>
      </c>
      <c r="D18" s="153"/>
      <c r="E18" s="153"/>
      <c r="F18" s="129">
        <f>DATA_BASE_CATEGORIA</f>
        <v>45292</v>
      </c>
    </row>
    <row r="19" spans="2:6" s="99" customFormat="1" ht="15" customHeight="1" x14ac:dyDescent="0.3">
      <c r="B19" s="30"/>
      <c r="C19" s="31"/>
      <c r="D19" s="31"/>
      <c r="E19" s="31"/>
      <c r="F19" s="104"/>
    </row>
    <row r="20" spans="2:6" s="121" customFormat="1" ht="30" customHeight="1" x14ac:dyDescent="0.3">
      <c r="B20" s="216" t="s">
        <v>178</v>
      </c>
      <c r="C20" s="216"/>
      <c r="D20" s="216"/>
      <c r="E20" s="216"/>
      <c r="F20" s="216"/>
    </row>
    <row r="21" spans="2:6" x14ac:dyDescent="0.3">
      <c r="B21" s="188" t="s">
        <v>179</v>
      </c>
      <c r="C21" s="188"/>
      <c r="D21" s="188"/>
      <c r="E21" s="188"/>
      <c r="F21" s="115">
        <v>2</v>
      </c>
    </row>
    <row r="22" spans="2:6" x14ac:dyDescent="0.3">
      <c r="B22" s="53" t="s">
        <v>47</v>
      </c>
      <c r="E22" s="17"/>
      <c r="F22" s="17"/>
    </row>
    <row r="23" spans="2:6" x14ac:dyDescent="0.3">
      <c r="B23" s="1">
        <v>1</v>
      </c>
      <c r="C23" s="190" t="s">
        <v>48</v>
      </c>
      <c r="D23" s="217"/>
      <c r="E23" s="191"/>
      <c r="F23" s="4" t="s">
        <v>85</v>
      </c>
    </row>
    <row r="24" spans="2:6" x14ac:dyDescent="0.3">
      <c r="B24" s="1" t="s">
        <v>14</v>
      </c>
      <c r="C24" s="207" t="s">
        <v>180</v>
      </c>
      <c r="D24" s="208"/>
      <c r="E24" s="209"/>
      <c r="F24" s="59">
        <f>SALARIO_BASE</f>
        <v>2723.41</v>
      </c>
    </row>
    <row r="25" spans="2:6" x14ac:dyDescent="0.3">
      <c r="B25" s="1" t="s">
        <v>16</v>
      </c>
      <c r="C25" s="139" t="s">
        <v>181</v>
      </c>
      <c r="D25" s="140"/>
      <c r="E25" s="141"/>
      <c r="F25" s="13">
        <f>PERC_ADIC_PERIC%*SALARIO_BASE</f>
        <v>817.02</v>
      </c>
    </row>
    <row r="26" spans="2:6" x14ac:dyDescent="0.3">
      <c r="B26" s="1" t="s">
        <v>19</v>
      </c>
      <c r="C26" s="207" t="str">
        <f>OUTROS_REMUNERACAO_1_DESCRICAO</f>
        <v>Outras Remunerações 1 (Especificar)</v>
      </c>
      <c r="D26" s="208"/>
      <c r="E26" s="209"/>
      <c r="F26" s="59">
        <f>OUTROS_REMUNERACAO_1</f>
        <v>0</v>
      </c>
    </row>
    <row r="27" spans="2:6" x14ac:dyDescent="0.3">
      <c r="B27" s="1" t="s">
        <v>22</v>
      </c>
      <c r="C27" s="210" t="str">
        <f>OUTROS_REMUNERACAO_2_DESCRICAO</f>
        <v>Outras Remunerações 2 (Especificar)</v>
      </c>
      <c r="D27" s="211"/>
      <c r="E27" s="212"/>
      <c r="F27" s="13">
        <f>OUTROS_REMUNERACAO_2</f>
        <v>0</v>
      </c>
    </row>
    <row r="28" spans="2:6" x14ac:dyDescent="0.3">
      <c r="B28" s="1" t="s">
        <v>25</v>
      </c>
      <c r="C28" s="207" t="str">
        <f>OUTROS_REMUNERACAO_3_DESCRICAO</f>
        <v>Outras Remunerações 3 (Especificar)</v>
      </c>
      <c r="D28" s="208"/>
      <c r="E28" s="209"/>
      <c r="F28" s="59">
        <f>OUTROS_REMUNERACAO_3</f>
        <v>0</v>
      </c>
    </row>
    <row r="29" spans="2:6" x14ac:dyDescent="0.3">
      <c r="B29" s="177" t="s">
        <v>155</v>
      </c>
      <c r="C29" s="178"/>
      <c r="D29" s="178"/>
      <c r="E29" s="179"/>
      <c r="F29" s="42">
        <f>SUM(F24:F28)</f>
        <v>3540.43</v>
      </c>
    </row>
    <row r="30" spans="2:6" x14ac:dyDescent="0.3">
      <c r="B30" s="53" t="s">
        <v>135</v>
      </c>
      <c r="E30" s="23"/>
      <c r="F30" s="23"/>
    </row>
    <row r="31" spans="2:6" x14ac:dyDescent="0.3">
      <c r="B31" s="53" t="s">
        <v>136</v>
      </c>
      <c r="C31" s="15"/>
      <c r="D31" s="24"/>
      <c r="E31" s="22"/>
      <c r="F31" s="22"/>
    </row>
    <row r="32" spans="2:6" x14ac:dyDescent="0.3">
      <c r="B32" s="1" t="s">
        <v>137</v>
      </c>
      <c r="C32" s="177" t="s">
        <v>138</v>
      </c>
      <c r="D32" s="179"/>
      <c r="E32" s="4" t="s">
        <v>75</v>
      </c>
      <c r="F32" s="4" t="s">
        <v>85</v>
      </c>
    </row>
    <row r="33" spans="2:8" x14ac:dyDescent="0.3">
      <c r="B33" s="1" t="s">
        <v>14</v>
      </c>
      <c r="C33" s="207" t="s">
        <v>140</v>
      </c>
      <c r="D33" s="208"/>
      <c r="E33" s="61">
        <f>PERC_DEC_TERC</f>
        <v>8.33</v>
      </c>
      <c r="F33" s="60">
        <f>PERC_DEC_TERC%*F29</f>
        <v>294.92</v>
      </c>
    </row>
    <row r="34" spans="2:8" x14ac:dyDescent="0.3">
      <c r="B34" s="2" t="s">
        <v>16</v>
      </c>
      <c r="C34" s="139" t="s">
        <v>142</v>
      </c>
      <c r="D34" s="141"/>
      <c r="E34" s="40">
        <f>PERC_ADIC_FERIAS</f>
        <v>2.78</v>
      </c>
      <c r="F34" s="38">
        <f>PERC_ADIC_FERIAS%*F29</f>
        <v>98.42</v>
      </c>
    </row>
    <row r="35" spans="2:8" s="106" customFormat="1" x14ac:dyDescent="0.3">
      <c r="B35" s="177" t="s">
        <v>155</v>
      </c>
      <c r="C35" s="178"/>
      <c r="D35" s="178"/>
      <c r="E35" s="179"/>
      <c r="F35" s="43">
        <f>SUM(F33:F34)</f>
        <v>393.34</v>
      </c>
    </row>
    <row r="36" spans="2:8" s="106" customFormat="1" ht="31.5" customHeight="1" x14ac:dyDescent="0.3">
      <c r="B36" s="213" t="s">
        <v>144</v>
      </c>
      <c r="C36" s="213"/>
      <c r="D36" s="213"/>
      <c r="E36" s="213"/>
      <c r="F36" s="213"/>
    </row>
    <row r="37" spans="2:8" s="106" customFormat="1" ht="34.5" customHeight="1" x14ac:dyDescent="0.3">
      <c r="B37" s="1" t="s">
        <v>145</v>
      </c>
      <c r="C37" s="214" t="s">
        <v>146</v>
      </c>
      <c r="D37" s="215"/>
      <c r="E37" s="4" t="s">
        <v>75</v>
      </c>
      <c r="F37" s="4" t="s">
        <v>85</v>
      </c>
    </row>
    <row r="38" spans="2:8" x14ac:dyDescent="0.3">
      <c r="B38" s="1" t="s">
        <v>14</v>
      </c>
      <c r="C38" s="207" t="s">
        <v>147</v>
      </c>
      <c r="D38" s="208"/>
      <c r="E38" s="61">
        <f>PERC_INSS</f>
        <v>20</v>
      </c>
      <c r="F38" s="60">
        <f>PERC_INSS%*(F29+F35)</f>
        <v>786.75</v>
      </c>
    </row>
    <row r="39" spans="2:8" s="99" customFormat="1" x14ac:dyDescent="0.3">
      <c r="B39" s="2" t="s">
        <v>16</v>
      </c>
      <c r="C39" s="139" t="s">
        <v>148</v>
      </c>
      <c r="D39" s="141"/>
      <c r="E39" s="48">
        <f>PERC_SAL_EDUCACAO</f>
        <v>2.5</v>
      </c>
      <c r="F39" s="38">
        <f>PERC_SAL_EDUCACAO%*(F29+F35)</f>
        <v>98.34</v>
      </c>
      <c r="G39" s="16"/>
      <c r="H39" s="16"/>
    </row>
    <row r="40" spans="2:8" s="99" customFormat="1" x14ac:dyDescent="0.3">
      <c r="B40" s="2" t="s">
        <v>19</v>
      </c>
      <c r="C40" s="207" t="s">
        <v>149</v>
      </c>
      <c r="D40" s="208"/>
      <c r="E40" s="61">
        <f>PERC_RAT</f>
        <v>3</v>
      </c>
      <c r="F40" s="60">
        <f>PERC_RAT%*(F29+F35)</f>
        <v>118.01</v>
      </c>
      <c r="G40" s="16"/>
      <c r="H40" s="16"/>
    </row>
    <row r="41" spans="2:8" s="99" customFormat="1" x14ac:dyDescent="0.3">
      <c r="B41" s="2" t="s">
        <v>22</v>
      </c>
      <c r="C41" s="139" t="s">
        <v>150</v>
      </c>
      <c r="D41" s="141"/>
      <c r="E41" s="40">
        <f>PERC_SESC</f>
        <v>1.5</v>
      </c>
      <c r="F41" s="38">
        <f>PERC_SESC%*(F29+F35)</f>
        <v>59.01</v>
      </c>
      <c r="G41" s="16"/>
      <c r="H41" s="16"/>
    </row>
    <row r="42" spans="2:8" s="99" customFormat="1" x14ac:dyDescent="0.3">
      <c r="B42" s="2" t="s">
        <v>25</v>
      </c>
      <c r="C42" s="207" t="s">
        <v>151</v>
      </c>
      <c r="D42" s="208"/>
      <c r="E42" s="61">
        <f>PERC_SENAC</f>
        <v>1</v>
      </c>
      <c r="F42" s="60">
        <f>PERC_SENAC%*(F29+F35)</f>
        <v>39.340000000000003</v>
      </c>
      <c r="G42" s="16"/>
      <c r="H42" s="16"/>
    </row>
    <row r="43" spans="2:8" s="99" customFormat="1" x14ac:dyDescent="0.3">
      <c r="B43" s="2" t="s">
        <v>55</v>
      </c>
      <c r="C43" s="139" t="s">
        <v>152</v>
      </c>
      <c r="D43" s="141"/>
      <c r="E43" s="48">
        <f>PERC_SEBRAE</f>
        <v>0.6</v>
      </c>
      <c r="F43" s="38">
        <f>PERC_SEBRAE%*(F29+F35)</f>
        <v>23.6</v>
      </c>
      <c r="G43" s="16"/>
      <c r="H43" s="16"/>
    </row>
    <row r="44" spans="2:8" s="99" customFormat="1" x14ac:dyDescent="0.3">
      <c r="B44" s="2" t="s">
        <v>57</v>
      </c>
      <c r="C44" s="207" t="s">
        <v>153</v>
      </c>
      <c r="D44" s="208"/>
      <c r="E44" s="61">
        <f>PERC_INCRA</f>
        <v>0.2</v>
      </c>
      <c r="F44" s="60">
        <f>PERC_INCRA%*(F29+F35)</f>
        <v>7.87</v>
      </c>
      <c r="G44" s="16"/>
      <c r="H44" s="16"/>
    </row>
    <row r="45" spans="2:8" x14ac:dyDescent="0.3">
      <c r="B45" s="2" t="s">
        <v>129</v>
      </c>
      <c r="C45" s="139" t="s">
        <v>154</v>
      </c>
      <c r="D45" s="141"/>
      <c r="E45" s="48">
        <f>PERC_FGTS</f>
        <v>8</v>
      </c>
      <c r="F45" s="38">
        <f>PERC_FGTS%*(F29+F35)</f>
        <v>314.7</v>
      </c>
    </row>
    <row r="46" spans="2:8" x14ac:dyDescent="0.3">
      <c r="B46" s="177" t="s">
        <v>155</v>
      </c>
      <c r="C46" s="178"/>
      <c r="D46" s="178"/>
      <c r="E46" s="179"/>
      <c r="F46" s="44">
        <f>SUM(F38:F45)</f>
        <v>1447.62</v>
      </c>
    </row>
    <row r="47" spans="2:8" ht="15.75" customHeight="1" x14ac:dyDescent="0.3">
      <c r="B47" s="53" t="s">
        <v>59</v>
      </c>
      <c r="C47" s="99"/>
      <c r="D47" s="99"/>
      <c r="E47" s="99"/>
      <c r="F47" s="99"/>
    </row>
    <row r="48" spans="2:8" ht="15.75" customHeight="1" x14ac:dyDescent="0.3">
      <c r="B48" s="1" t="s">
        <v>60</v>
      </c>
      <c r="C48" s="177" t="s">
        <v>61</v>
      </c>
      <c r="D48" s="178"/>
      <c r="E48" s="179"/>
      <c r="F48" s="4" t="s">
        <v>85</v>
      </c>
    </row>
    <row r="49" spans="2:7" x14ac:dyDescent="0.3">
      <c r="B49" s="27" t="s">
        <v>14</v>
      </c>
      <c r="C49" s="207" t="s">
        <v>64</v>
      </c>
      <c r="D49" s="208"/>
      <c r="E49" s="209"/>
      <c r="F49" s="60">
        <f>IF(((TRANSPORTE_POR_DIA*DIAS_TRABALHADOS_NO_MES_12X36)-(PERC_DESC_TRANSP_REMUNERACAO%*F24))&gt;0,((TRANSPORTE_POR_DIA*DIAS_TRABALHADOS_NO_MES_12X36)-(PERC_DESC_TRANSP_REMUNERACAO%*F24)),0)</f>
        <v>1.6</v>
      </c>
    </row>
    <row r="50" spans="2:7" s="106" customFormat="1" x14ac:dyDescent="0.3">
      <c r="B50" s="27" t="s">
        <v>16</v>
      </c>
      <c r="C50" s="139" t="s">
        <v>66</v>
      </c>
      <c r="D50" s="140"/>
      <c r="E50" s="141"/>
      <c r="F50" s="38">
        <f>ALIMENTACAO_POR_DIA*DIAS_TRABALHADOS_NO_MES_12X36</f>
        <v>710.55</v>
      </c>
      <c r="G50" s="16"/>
    </row>
    <row r="51" spans="2:7" s="106" customFormat="1" x14ac:dyDescent="0.3">
      <c r="B51" s="27" t="s">
        <v>19</v>
      </c>
      <c r="C51" s="207" t="str">
        <f>OUTROS_BENEFICIOS_1_DESCRICAO</f>
        <v>Seguro de vida em grupo</v>
      </c>
      <c r="D51" s="208"/>
      <c r="E51" s="209"/>
      <c r="F51" s="60">
        <f>OUTROS_BENEFICIOS_1</f>
        <v>25.26</v>
      </c>
      <c r="G51" s="16"/>
    </row>
    <row r="52" spans="2:7" s="106" customFormat="1" x14ac:dyDescent="0.3">
      <c r="B52" s="27" t="s">
        <v>22</v>
      </c>
      <c r="C52" s="210" t="str">
        <f>OUTROS_BENEFICIOS_2_DESCRICAO</f>
        <v>Outros Benefícios 2 (Especificar)</v>
      </c>
      <c r="D52" s="211"/>
      <c r="E52" s="212"/>
      <c r="F52" s="38">
        <f>OUTROS_BENEFICIOS_2</f>
        <v>0</v>
      </c>
      <c r="G52" s="16"/>
    </row>
    <row r="53" spans="2:7" s="106" customFormat="1" x14ac:dyDescent="0.3">
      <c r="B53" s="27" t="s">
        <v>25</v>
      </c>
      <c r="C53" s="207" t="str">
        <f>OUTROS_BENEFICIOS_3_DESCRICAO</f>
        <v>Outros Benefícios 3 (Especificar)</v>
      </c>
      <c r="D53" s="208"/>
      <c r="E53" s="209"/>
      <c r="F53" s="60">
        <f>OUTROS_BENEFICIOS_3</f>
        <v>0</v>
      </c>
    </row>
    <row r="54" spans="2:7" s="106" customFormat="1" ht="15" customHeight="1" x14ac:dyDescent="0.3">
      <c r="B54" s="177" t="s">
        <v>155</v>
      </c>
      <c r="C54" s="178"/>
      <c r="D54" s="178"/>
      <c r="E54" s="179"/>
      <c r="F54" s="42">
        <f>SUM(F49:F53)</f>
        <v>737.41</v>
      </c>
    </row>
    <row r="55" spans="2:7" s="106" customFormat="1" x14ac:dyDescent="0.3">
      <c r="B55" s="53" t="s">
        <v>115</v>
      </c>
      <c r="C55" s="15"/>
      <c r="D55" s="24"/>
      <c r="E55" s="22"/>
      <c r="F55" s="22"/>
    </row>
    <row r="56" spans="2:7" s="106" customFormat="1" ht="15" customHeight="1" x14ac:dyDescent="0.3">
      <c r="B56" s="1">
        <v>3</v>
      </c>
      <c r="C56" s="188" t="s">
        <v>116</v>
      </c>
      <c r="D56" s="188"/>
      <c r="E56" s="4" t="s">
        <v>75</v>
      </c>
      <c r="F56" s="4" t="s">
        <v>85</v>
      </c>
    </row>
    <row r="57" spans="2:7" s="106" customFormat="1" x14ac:dyDescent="0.3">
      <c r="B57" s="1" t="s">
        <v>14</v>
      </c>
      <c r="C57" s="198" t="s">
        <v>156</v>
      </c>
      <c r="D57" s="198"/>
      <c r="E57" s="61">
        <f>PERC_AVISO_PREVIO_IND</f>
        <v>0.28999999999999998</v>
      </c>
      <c r="F57" s="60">
        <f>PERC_AVISO_PREVIO_IND%*(F29+F35+F45+F54)</f>
        <v>14.46</v>
      </c>
    </row>
    <row r="58" spans="2:7" s="106" customFormat="1" x14ac:dyDescent="0.3">
      <c r="B58" s="2" t="s">
        <v>16</v>
      </c>
      <c r="C58" s="200" t="s">
        <v>158</v>
      </c>
      <c r="D58" s="200"/>
      <c r="E58" s="48">
        <f>PERC_AVISO_PREVIO_TRAB</f>
        <v>1.1599999999999999</v>
      </c>
      <c r="F58" s="38">
        <f>PERC_AVISO_PREVIO_TRAB%*(F29+F35+F46+F54)</f>
        <v>70.98</v>
      </c>
    </row>
    <row r="59" spans="2:7" s="99" customFormat="1" x14ac:dyDescent="0.15">
      <c r="B59" s="2" t="s">
        <v>19</v>
      </c>
      <c r="C59" s="198" t="s">
        <v>160</v>
      </c>
      <c r="D59" s="198"/>
      <c r="E59" s="61">
        <f>PERC_MULTA_FGTS_AV_PREV_TRAB</f>
        <v>0.04</v>
      </c>
      <c r="F59" s="60">
        <f>PERC_MULTA_FGTS_AV_PREV_TRAB%*(F29+F35)</f>
        <v>1.57</v>
      </c>
    </row>
    <row r="60" spans="2:7" s="99" customFormat="1" x14ac:dyDescent="0.3">
      <c r="B60" s="177" t="s">
        <v>155</v>
      </c>
      <c r="C60" s="178"/>
      <c r="D60" s="178"/>
      <c r="E60" s="179"/>
      <c r="F60" s="43">
        <f>SUM(F57:F59)</f>
        <v>87.01</v>
      </c>
    </row>
    <row r="61" spans="2:7" ht="7.5" customHeight="1" x14ac:dyDescent="0.3">
      <c r="B61" s="19"/>
      <c r="C61" s="16"/>
      <c r="D61" s="20"/>
      <c r="E61" s="17"/>
      <c r="F61" s="17"/>
    </row>
    <row r="62" spans="2:7" s="99" customFormat="1" ht="15.95" customHeight="1" x14ac:dyDescent="0.3">
      <c r="B62" s="53" t="s">
        <v>71</v>
      </c>
      <c r="C62" s="15"/>
      <c r="D62" s="24"/>
      <c r="E62" s="16"/>
      <c r="F62" s="16"/>
    </row>
    <row r="63" spans="2:7" s="99" customFormat="1" ht="15.95" customHeight="1" x14ac:dyDescent="0.3">
      <c r="B63" s="53" t="s">
        <v>72</v>
      </c>
      <c r="C63" s="15"/>
      <c r="D63" s="24"/>
      <c r="E63" s="22"/>
      <c r="F63" s="22"/>
    </row>
    <row r="64" spans="2:7" s="99" customFormat="1" x14ac:dyDescent="0.15">
      <c r="B64" s="1" t="s">
        <v>73</v>
      </c>
      <c r="C64" s="199" t="s">
        <v>74</v>
      </c>
      <c r="D64" s="199"/>
      <c r="E64" s="4" t="s">
        <v>75</v>
      </c>
      <c r="F64" s="4" t="s">
        <v>85</v>
      </c>
    </row>
    <row r="65" spans="2:6" s="99" customFormat="1" ht="15.95" customHeight="1" x14ac:dyDescent="0.15">
      <c r="B65" s="2" t="s">
        <v>14</v>
      </c>
      <c r="C65" s="195" t="s">
        <v>162</v>
      </c>
      <c r="D65" s="195"/>
      <c r="E65" s="61">
        <f>PERC_SUBSTITUTO_FERIAS</f>
        <v>8.33</v>
      </c>
      <c r="F65" s="60">
        <f>PERC_SUBSTITUTO_FERIAS%*(F29+F35+F46+F54+F60)</f>
        <v>516.94000000000005</v>
      </c>
    </row>
    <row r="66" spans="2:6" s="99" customFormat="1" ht="15.95" customHeight="1" x14ac:dyDescent="0.15">
      <c r="B66" s="2" t="s">
        <v>16</v>
      </c>
      <c r="C66" s="196" t="s">
        <v>164</v>
      </c>
      <c r="D66" s="196"/>
      <c r="E66" s="48">
        <f>PERC_SUBSTITUTO_AUSENCIAS_LEGAIS</f>
        <v>2.2200000000000002</v>
      </c>
      <c r="F66" s="38">
        <f>PERC_SUBSTITUTO_AUSENCIAS_LEGAIS%*(F29+F35+F46+F54+F60)</f>
        <v>137.77000000000001</v>
      </c>
    </row>
    <row r="67" spans="2:6" s="99" customFormat="1" ht="15.95" customHeight="1" x14ac:dyDescent="0.15">
      <c r="B67" s="2" t="s">
        <v>19</v>
      </c>
      <c r="C67" s="195" t="s">
        <v>166</v>
      </c>
      <c r="D67" s="195"/>
      <c r="E67" s="61">
        <f>PERC_SUBSTITUTO_LICENCA_PATERNIDADE</f>
        <v>7.0000000000000007E-2</v>
      </c>
      <c r="F67" s="60">
        <f>PERC_SUBSTITUTO_LICENCA_PATERNIDADE%*(F29+F35+F46+F54+F60)</f>
        <v>4.34</v>
      </c>
    </row>
    <row r="68" spans="2:6" s="99" customFormat="1" x14ac:dyDescent="0.15">
      <c r="B68" s="2" t="s">
        <v>22</v>
      </c>
      <c r="C68" s="196" t="s">
        <v>168</v>
      </c>
      <c r="D68" s="196"/>
      <c r="E68" s="48">
        <f>PERC_SUBSTITUTO_ACID_TRAB</f>
        <v>0.02</v>
      </c>
      <c r="F68" s="38">
        <f>PERC_SUBSTITUTO_ACID_TRAB%*(F29+F35+F46+F54+F60)</f>
        <v>1.24</v>
      </c>
    </row>
    <row r="69" spans="2:6" s="99" customFormat="1" x14ac:dyDescent="0.15">
      <c r="B69" s="2" t="s">
        <v>25</v>
      </c>
      <c r="C69" s="195" t="s">
        <v>170</v>
      </c>
      <c r="D69" s="195"/>
      <c r="E69" s="61">
        <f>PERC_SUBSTITUTO_AFAST_MATERN</f>
        <v>0.04</v>
      </c>
      <c r="F69" s="60">
        <f>PERC_SUBSTITUTO_AFAST_MATERN%*(F29+F35+F46+F54+F60)</f>
        <v>2.48</v>
      </c>
    </row>
    <row r="70" spans="2:6" s="99" customFormat="1" x14ac:dyDescent="0.15">
      <c r="B70" s="2" t="s">
        <v>55</v>
      </c>
      <c r="C70" s="206" t="str">
        <f>OUTRAS_AUSENCIAS_DESCRICAO</f>
        <v>Outras Ausências (Especificar - em %)</v>
      </c>
      <c r="D70" s="196"/>
      <c r="E70" s="55">
        <f>PERC_SUBSTITUTO_OUTRAS_AUSENCIAS</f>
        <v>0</v>
      </c>
      <c r="F70" s="38">
        <f>PERC_SUBSTITUTO_OUTRAS_AUSENCIAS%*(F29+F35+F46+F54+F60)</f>
        <v>0</v>
      </c>
    </row>
    <row r="71" spans="2:6" s="99" customFormat="1" x14ac:dyDescent="0.3">
      <c r="B71" s="177" t="s">
        <v>155</v>
      </c>
      <c r="C71" s="178"/>
      <c r="D71" s="178"/>
      <c r="E71" s="179"/>
      <c r="F71" s="43">
        <f>SUM(F65:F70)</f>
        <v>662.77</v>
      </c>
    </row>
    <row r="72" spans="2:6" s="99" customFormat="1" ht="15" customHeight="1" x14ac:dyDescent="0.3">
      <c r="B72" s="53" t="s">
        <v>77</v>
      </c>
      <c r="C72" s="15"/>
      <c r="D72" s="24"/>
      <c r="E72" s="22"/>
      <c r="F72" s="22"/>
    </row>
    <row r="73" spans="2:6" s="99" customFormat="1" x14ac:dyDescent="0.15">
      <c r="B73" s="1" t="s">
        <v>78</v>
      </c>
      <c r="C73" s="188" t="s">
        <v>79</v>
      </c>
      <c r="D73" s="188"/>
      <c r="E73" s="188"/>
      <c r="F73" s="4" t="s">
        <v>85</v>
      </c>
    </row>
    <row r="74" spans="2:6" s="99" customFormat="1" x14ac:dyDescent="0.15">
      <c r="B74" s="1" t="s">
        <v>14</v>
      </c>
      <c r="C74" s="195" t="s">
        <v>182</v>
      </c>
      <c r="D74" s="195"/>
      <c r="E74" s="195"/>
      <c r="F74" s="59"/>
    </row>
    <row r="75" spans="2:6" s="99" customFormat="1" x14ac:dyDescent="0.3">
      <c r="B75" s="188" t="s">
        <v>155</v>
      </c>
      <c r="C75" s="188"/>
      <c r="D75" s="188"/>
      <c r="E75" s="188"/>
      <c r="F75" s="43">
        <f>SUM(F74)</f>
        <v>0</v>
      </c>
    </row>
    <row r="76" spans="2:6" ht="7.5" customHeight="1" x14ac:dyDescent="0.3">
      <c r="B76" s="19"/>
      <c r="C76" s="16"/>
      <c r="D76" s="20"/>
      <c r="E76" s="17"/>
      <c r="F76" s="17"/>
    </row>
    <row r="77" spans="2:6" x14ac:dyDescent="0.3">
      <c r="B77" s="53" t="s">
        <v>83</v>
      </c>
      <c r="C77" s="15"/>
      <c r="D77" s="15"/>
      <c r="E77" s="22"/>
      <c r="F77" s="22"/>
    </row>
    <row r="78" spans="2:6" ht="15.75" customHeight="1" x14ac:dyDescent="0.3">
      <c r="B78" s="51">
        <v>5</v>
      </c>
      <c r="C78" s="180" t="s">
        <v>84</v>
      </c>
      <c r="D78" s="180"/>
      <c r="E78" s="180"/>
      <c r="F78" s="52" t="s">
        <v>85</v>
      </c>
    </row>
    <row r="79" spans="2:6" x14ac:dyDescent="0.3">
      <c r="B79" s="46" t="s">
        <v>14</v>
      </c>
      <c r="C79" s="181" t="s">
        <v>86</v>
      </c>
      <c r="D79" s="181"/>
      <c r="E79" s="181"/>
      <c r="F79" s="62">
        <f>UNIFORMES</f>
        <v>76.69</v>
      </c>
    </row>
    <row r="80" spans="2:6" x14ac:dyDescent="0.3">
      <c r="B80" s="46" t="s">
        <v>16</v>
      </c>
      <c r="C80" s="182" t="s">
        <v>87</v>
      </c>
      <c r="D80" s="182"/>
      <c r="E80" s="182"/>
      <c r="F80" s="49">
        <f>MATERIAIS</f>
        <v>132.86000000000001</v>
      </c>
    </row>
    <row r="81" spans="2:8" x14ac:dyDescent="0.3">
      <c r="B81" s="46" t="s">
        <v>19</v>
      </c>
      <c r="C81" s="181" t="s">
        <v>88</v>
      </c>
      <c r="D81" s="181"/>
      <c r="E81" s="181"/>
      <c r="F81" s="62">
        <f>EQUIPAMENTOS</f>
        <v>0</v>
      </c>
    </row>
    <row r="82" spans="2:8" x14ac:dyDescent="0.3">
      <c r="B82" s="46" t="s">
        <v>22</v>
      </c>
      <c r="C82" s="204" t="str">
        <f>OUTROS_INSUMOS_DESCRICAO</f>
        <v>Outros (Especificar)</v>
      </c>
      <c r="D82" s="182"/>
      <c r="E82" s="182"/>
      <c r="F82" s="49">
        <f>OUTROS_INSUMOS</f>
        <v>0</v>
      </c>
    </row>
    <row r="83" spans="2:8" x14ac:dyDescent="0.3">
      <c r="B83" s="205" t="s">
        <v>155</v>
      </c>
      <c r="C83" s="205"/>
      <c r="D83" s="205"/>
      <c r="E83" s="205"/>
      <c r="F83" s="45">
        <f>SUM(F79:F82)</f>
        <v>209.55</v>
      </c>
    </row>
    <row r="84" spans="2:8" ht="7.5" customHeight="1" x14ac:dyDescent="0.3">
      <c r="B84" s="19"/>
      <c r="C84" s="16"/>
      <c r="D84" s="20"/>
      <c r="E84" s="17"/>
      <c r="F84" s="17"/>
    </row>
    <row r="85" spans="2:8" ht="15" customHeight="1" x14ac:dyDescent="0.3">
      <c r="B85" s="173" t="s">
        <v>90</v>
      </c>
      <c r="C85" s="173"/>
      <c r="D85" s="173"/>
      <c r="E85" s="173"/>
      <c r="F85" s="173"/>
    </row>
    <row r="86" spans="2:8" x14ac:dyDescent="0.3">
      <c r="B86" s="1">
        <v>6</v>
      </c>
      <c r="C86" s="188" t="s">
        <v>91</v>
      </c>
      <c r="D86" s="188"/>
      <c r="E86" s="4" t="s">
        <v>75</v>
      </c>
      <c r="F86" s="4" t="s">
        <v>85</v>
      </c>
    </row>
    <row r="87" spans="2:8" x14ac:dyDescent="0.3">
      <c r="B87" s="1" t="s">
        <v>14</v>
      </c>
      <c r="C87" s="195" t="s">
        <v>92</v>
      </c>
      <c r="D87" s="195"/>
      <c r="E87" s="63">
        <f>PERC_CUSTOS_INDIRETOS</f>
        <v>4.8499999999999996</v>
      </c>
      <c r="F87" s="60">
        <f>PERC_CUSTOS_INDIRETOS%*(F29+F35+F46+F54+F60+F71+F75+F83)</f>
        <v>343.29</v>
      </c>
    </row>
    <row r="88" spans="2:8" ht="15.75" customHeight="1" x14ac:dyDescent="0.3">
      <c r="B88" s="2" t="s">
        <v>16</v>
      </c>
      <c r="C88" s="196" t="s">
        <v>93</v>
      </c>
      <c r="D88" s="196"/>
      <c r="E88" s="50">
        <f>PERC_LUCRO</f>
        <v>5.45</v>
      </c>
      <c r="F88" s="38">
        <f>PERC_LUCRO%*(F29+F35+F46+F54+F60+F71+F75+F83+F87)</f>
        <v>404.47</v>
      </c>
    </row>
    <row r="89" spans="2:8" x14ac:dyDescent="0.3">
      <c r="B89" s="2" t="s">
        <v>19</v>
      </c>
      <c r="C89" s="195" t="s">
        <v>183</v>
      </c>
      <c r="D89" s="195"/>
      <c r="E89" s="63">
        <f>SUM(E90:E92)</f>
        <v>8.65</v>
      </c>
      <c r="F89" s="60">
        <f>SUM(F90:F92)</f>
        <v>741.05</v>
      </c>
    </row>
    <row r="90" spans="2:8" ht="15.75" customHeight="1" x14ac:dyDescent="0.3">
      <c r="B90" s="32" t="s">
        <v>94</v>
      </c>
      <c r="C90" s="203" t="s">
        <v>95</v>
      </c>
      <c r="D90" s="203"/>
      <c r="E90" s="33">
        <f>PERC_PIS</f>
        <v>0.65</v>
      </c>
      <c r="F90" s="65">
        <f>((F29+F35+F46+F54+F60+F71+F75+F83+F87+F88)*E90%)/(1-E89%)</f>
        <v>55.69</v>
      </c>
    </row>
    <row r="91" spans="2:8" x14ac:dyDescent="0.3">
      <c r="B91" s="32" t="s">
        <v>96</v>
      </c>
      <c r="C91" s="202" t="s">
        <v>97</v>
      </c>
      <c r="D91" s="202"/>
      <c r="E91" s="64">
        <f>PERC_COFINS</f>
        <v>3</v>
      </c>
      <c r="F91" s="66">
        <f>((F29+F35+F46+F54+F60+F71+F75+F83+F87+F88)*E91%)/(1-E89%)</f>
        <v>257.01</v>
      </c>
    </row>
    <row r="92" spans="2:8" s="107" customFormat="1" x14ac:dyDescent="0.3">
      <c r="B92" s="32" t="s">
        <v>98</v>
      </c>
      <c r="C92" s="203" t="s">
        <v>99</v>
      </c>
      <c r="D92" s="203"/>
      <c r="E92" s="33">
        <f>PERC_ISS</f>
        <v>5</v>
      </c>
      <c r="F92" s="65">
        <f>((F29+F35+F46+F54+F60+F71+F75+F83+F87+F88)*E92%)/(1-E89%)</f>
        <v>428.35</v>
      </c>
      <c r="H92" s="16"/>
    </row>
    <row r="93" spans="2:8" s="107" customFormat="1" x14ac:dyDescent="0.3">
      <c r="B93" s="177" t="s">
        <v>155</v>
      </c>
      <c r="C93" s="178"/>
      <c r="D93" s="178"/>
      <c r="E93" s="179"/>
      <c r="F93" s="39">
        <f>SUM(F87:F89)</f>
        <v>1488.81</v>
      </c>
    </row>
    <row r="94" spans="2:8" s="107" customFormat="1" ht="20.25" x14ac:dyDescent="0.3">
      <c r="B94" s="54" t="s">
        <v>184</v>
      </c>
      <c r="C94" s="18"/>
      <c r="D94" s="18"/>
      <c r="E94" s="18"/>
      <c r="F94" s="25"/>
    </row>
    <row r="95" spans="2:8" s="108" customFormat="1" ht="16.5" customHeight="1" x14ac:dyDescent="0.3">
      <c r="B95" s="2" t="s">
        <v>185</v>
      </c>
      <c r="C95" s="185" t="s">
        <v>186</v>
      </c>
      <c r="D95" s="186"/>
      <c r="E95" s="187"/>
      <c r="F95" s="4" t="s">
        <v>187</v>
      </c>
      <c r="H95" s="125"/>
    </row>
    <row r="96" spans="2:8" s="107" customFormat="1" x14ac:dyDescent="0.3">
      <c r="B96" s="1">
        <v>1</v>
      </c>
      <c r="C96" s="195" t="s">
        <v>48</v>
      </c>
      <c r="D96" s="195"/>
      <c r="E96" s="195"/>
      <c r="F96" s="60">
        <f>F29</f>
        <v>3540.43</v>
      </c>
    </row>
    <row r="97" spans="2:8" s="109" customFormat="1" ht="16.5" customHeight="1" x14ac:dyDescent="0.3">
      <c r="B97" s="2">
        <v>2</v>
      </c>
      <c r="C97" s="196" t="s">
        <v>188</v>
      </c>
      <c r="D97" s="196"/>
      <c r="E97" s="196"/>
      <c r="F97" s="38">
        <f>F35+F46+F54</f>
        <v>2578.37</v>
      </c>
    </row>
    <row r="98" spans="2:8" s="109" customFormat="1" x14ac:dyDescent="0.3">
      <c r="B98" s="2">
        <v>3</v>
      </c>
      <c r="C98" s="195" t="s">
        <v>116</v>
      </c>
      <c r="D98" s="195"/>
      <c r="E98" s="195"/>
      <c r="F98" s="60">
        <f>F60</f>
        <v>87.01</v>
      </c>
    </row>
    <row r="99" spans="2:8" s="109" customFormat="1" x14ac:dyDescent="0.3">
      <c r="B99" s="2">
        <v>4</v>
      </c>
      <c r="C99" s="196" t="s">
        <v>189</v>
      </c>
      <c r="D99" s="196"/>
      <c r="E99" s="196"/>
      <c r="F99" s="38">
        <f>F71+F75</f>
        <v>662.77</v>
      </c>
    </row>
    <row r="100" spans="2:8" s="109" customFormat="1" x14ac:dyDescent="0.3">
      <c r="B100" s="2">
        <v>5</v>
      </c>
      <c r="C100" s="195" t="s">
        <v>84</v>
      </c>
      <c r="D100" s="195"/>
      <c r="E100" s="195"/>
      <c r="F100" s="60">
        <f>F83</f>
        <v>209.55</v>
      </c>
    </row>
    <row r="101" spans="2:8" s="109" customFormat="1" x14ac:dyDescent="0.3">
      <c r="B101" s="2">
        <v>6</v>
      </c>
      <c r="C101" s="196" t="s">
        <v>91</v>
      </c>
      <c r="D101" s="196"/>
      <c r="E101" s="196"/>
      <c r="F101" s="38">
        <f>F93</f>
        <v>1488.81</v>
      </c>
    </row>
    <row r="102" spans="2:8" ht="16.5" customHeight="1" x14ac:dyDescent="0.3">
      <c r="B102" s="199" t="s">
        <v>190</v>
      </c>
      <c r="C102" s="199"/>
      <c r="D102" s="199"/>
      <c r="E102" s="199"/>
      <c r="F102" s="39">
        <f>SUM(F96:F101)</f>
        <v>8566.94</v>
      </c>
      <c r="H102" s="126"/>
    </row>
    <row r="103" spans="2:8" ht="16.5" customHeight="1" x14ac:dyDescent="0.3">
      <c r="B103" s="199" t="s">
        <v>191</v>
      </c>
      <c r="C103" s="199"/>
      <c r="D103" s="199"/>
      <c r="E103" s="199"/>
      <c r="F103" s="39">
        <f>F102*F21</f>
        <v>17133.88</v>
      </c>
    </row>
    <row r="105" spans="2:8" x14ac:dyDescent="0.3">
      <c r="B105" s="16" t="s">
        <v>192</v>
      </c>
    </row>
  </sheetData>
  <mergeCells count="90">
    <mergeCell ref="B1:F1"/>
    <mergeCell ref="B2:D2"/>
    <mergeCell ref="B3:F3"/>
    <mergeCell ref="B4:F4"/>
    <mergeCell ref="B5:C5"/>
    <mergeCell ref="D5:F5"/>
    <mergeCell ref="D17:F17"/>
    <mergeCell ref="B6:C6"/>
    <mergeCell ref="D6:E6"/>
    <mergeCell ref="B7:F7"/>
    <mergeCell ref="C8:E8"/>
    <mergeCell ref="D9:F9"/>
    <mergeCell ref="C10:E10"/>
    <mergeCell ref="C11:E11"/>
    <mergeCell ref="C12:E12"/>
    <mergeCell ref="C15:D15"/>
    <mergeCell ref="E15:F15"/>
    <mergeCell ref="D16:F16"/>
    <mergeCell ref="C33:D33"/>
    <mergeCell ref="C18:E18"/>
    <mergeCell ref="B20:F20"/>
    <mergeCell ref="B21:E21"/>
    <mergeCell ref="C23:E23"/>
    <mergeCell ref="C24:E24"/>
    <mergeCell ref="C25:E25"/>
    <mergeCell ref="C26:E26"/>
    <mergeCell ref="C27:E27"/>
    <mergeCell ref="C28:E28"/>
    <mergeCell ref="B29:E29"/>
    <mergeCell ref="C32:D32"/>
    <mergeCell ref="C45:D45"/>
    <mergeCell ref="C34:D34"/>
    <mergeCell ref="B35:E35"/>
    <mergeCell ref="B36:F36"/>
    <mergeCell ref="C37:D37"/>
    <mergeCell ref="C38:D38"/>
    <mergeCell ref="C39:D39"/>
    <mergeCell ref="C40:D40"/>
    <mergeCell ref="C41:D41"/>
    <mergeCell ref="C42:D42"/>
    <mergeCell ref="C43:D43"/>
    <mergeCell ref="C44:D44"/>
    <mergeCell ref="C59:D59"/>
    <mergeCell ref="B46:E46"/>
    <mergeCell ref="C48:E48"/>
    <mergeCell ref="C49:E49"/>
    <mergeCell ref="C50:E50"/>
    <mergeCell ref="C51:E51"/>
    <mergeCell ref="C52:E52"/>
    <mergeCell ref="C53:E53"/>
    <mergeCell ref="B54:E54"/>
    <mergeCell ref="C56:D56"/>
    <mergeCell ref="C57:D57"/>
    <mergeCell ref="C58:D58"/>
    <mergeCell ref="B75:E75"/>
    <mergeCell ref="B60:E60"/>
    <mergeCell ref="C64:D64"/>
    <mergeCell ref="C65:D65"/>
    <mergeCell ref="C66:D66"/>
    <mergeCell ref="C67:D67"/>
    <mergeCell ref="C68:D68"/>
    <mergeCell ref="C69:D69"/>
    <mergeCell ref="C70:D70"/>
    <mergeCell ref="B71:E71"/>
    <mergeCell ref="C73:E73"/>
    <mergeCell ref="C74:E74"/>
    <mergeCell ref="C90:D90"/>
    <mergeCell ref="C78:E78"/>
    <mergeCell ref="C79:E79"/>
    <mergeCell ref="C80:E80"/>
    <mergeCell ref="C81:E81"/>
    <mergeCell ref="C82:E82"/>
    <mergeCell ref="B83:E83"/>
    <mergeCell ref="B85:F85"/>
    <mergeCell ref="C86:D86"/>
    <mergeCell ref="C87:D87"/>
    <mergeCell ref="C88:D88"/>
    <mergeCell ref="C89:D89"/>
    <mergeCell ref="B103:E103"/>
    <mergeCell ref="C91:D91"/>
    <mergeCell ref="C92:D92"/>
    <mergeCell ref="B93:E93"/>
    <mergeCell ref="C95:E95"/>
    <mergeCell ref="C96:E96"/>
    <mergeCell ref="C97:E97"/>
    <mergeCell ref="C98:E98"/>
    <mergeCell ref="C99:E99"/>
    <mergeCell ref="C100:E100"/>
    <mergeCell ref="C101:E101"/>
    <mergeCell ref="B102:E102"/>
  </mergeCells>
  <pageMargins left="0.511811024" right="0.511811024" top="0.78740157499999996" bottom="0.78740157499999996" header="0.31496062000000002" footer="0.31496062000000002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7A83-7687-4E74-B7D2-186138BC70CE}">
  <sheetPr>
    <pageSetUpPr fitToPage="1"/>
  </sheetPr>
  <dimension ref="B1:F105"/>
  <sheetViews>
    <sheetView topLeftCell="A72" workbookViewId="0">
      <selection activeCell="F104" sqref="F104"/>
    </sheetView>
  </sheetViews>
  <sheetFormatPr defaultColWidth="9.140625" defaultRowHeight="16.5" x14ac:dyDescent="0.3"/>
  <cols>
    <col min="1" max="1" width="2.7109375" style="16" customWidth="1"/>
    <col min="2" max="2" width="8.85546875" style="16" customWidth="1"/>
    <col min="3" max="3" width="52.5703125" style="21" customWidth="1"/>
    <col min="4" max="4" width="7.85546875" style="21" customWidth="1"/>
    <col min="5" max="5" width="13.5703125" style="21" customWidth="1"/>
    <col min="6" max="6" width="15.42578125" style="21" bestFit="1" customWidth="1"/>
    <col min="7" max="16384" width="9.140625" style="16"/>
  </cols>
  <sheetData>
    <row r="1" spans="2:6" ht="20.25" x14ac:dyDescent="0.35">
      <c r="B1" s="222" t="str">
        <f>RAMO</f>
        <v>RAMO: ESCOLA SUPERIOR DO MINISTÉRIO PÚBLICO DA UNIÃO</v>
      </c>
      <c r="C1" s="223"/>
      <c r="D1" s="223"/>
      <c r="E1" s="223"/>
      <c r="F1" s="224"/>
    </row>
    <row r="2" spans="2:6" ht="20.25" x14ac:dyDescent="0.35">
      <c r="B2" s="225" t="str">
        <f>UG</f>
        <v>UNIDADE GESTORA (SIGLA): ESMPU</v>
      </c>
      <c r="C2" s="226"/>
      <c r="D2" s="227"/>
      <c r="E2" s="111" t="s">
        <v>2</v>
      </c>
      <c r="F2" s="112" t="str">
        <f>DATA_DO_ORCAMENTO_ESTIMATIVO</f>
        <v>XX/XX/20XX</v>
      </c>
    </row>
    <row r="3" spans="2:6" s="99" customFormat="1" ht="25.5" x14ac:dyDescent="0.5">
      <c r="B3" s="158" t="s">
        <v>193</v>
      </c>
      <c r="C3" s="158"/>
      <c r="D3" s="158"/>
      <c r="E3" s="158"/>
      <c r="F3" s="158"/>
    </row>
    <row r="4" spans="2:6" s="99" customFormat="1" ht="15.95" customHeight="1" x14ac:dyDescent="0.3">
      <c r="B4" s="144" t="s">
        <v>5</v>
      </c>
      <c r="C4" s="144"/>
      <c r="D4" s="144"/>
      <c r="E4" s="144"/>
      <c r="F4" s="144"/>
    </row>
    <row r="5" spans="2:6" s="99" customFormat="1" ht="15.95" customHeight="1" x14ac:dyDescent="0.3">
      <c r="B5" s="142" t="s">
        <v>174</v>
      </c>
      <c r="C5" s="142"/>
      <c r="D5" s="228" t="str">
        <f>NUMERO_PROCESSO</f>
        <v>0.01.000.1.002991/2024-69</v>
      </c>
      <c r="E5" s="228"/>
      <c r="F5" s="228"/>
    </row>
    <row r="6" spans="2:6" s="99" customFormat="1" ht="15.75" customHeight="1" x14ac:dyDescent="0.3">
      <c r="B6" s="168" t="s">
        <v>175</v>
      </c>
      <c r="C6" s="168"/>
      <c r="D6" s="218" t="str">
        <f>MODALIDADE_DE_LICITACAO</f>
        <v>Pregão nº</v>
      </c>
      <c r="E6" s="218"/>
      <c r="F6" s="116" t="str">
        <f>NUMERO_PREGAO</f>
        <v>XX/20XX</v>
      </c>
    </row>
    <row r="7" spans="2:6" s="99" customFormat="1" ht="15.75" customHeight="1" x14ac:dyDescent="0.3">
      <c r="B7" s="219" t="s">
        <v>176</v>
      </c>
      <c r="C7" s="219"/>
      <c r="D7" s="219"/>
      <c r="E7" s="219"/>
      <c r="F7" s="219"/>
    </row>
    <row r="8" spans="2:6" s="99" customFormat="1" ht="18" customHeight="1" x14ac:dyDescent="0.3">
      <c r="B8" s="27" t="s">
        <v>14</v>
      </c>
      <c r="C8" s="142" t="s">
        <v>15</v>
      </c>
      <c r="D8" s="142"/>
      <c r="E8" s="142"/>
      <c r="F8" s="117" t="str">
        <f>DATA_APRESENTACAO_PROPOSTA</f>
        <v>XX/XX/20XX</v>
      </c>
    </row>
    <row r="9" spans="2:6" s="99" customFormat="1" ht="15.95" customHeight="1" x14ac:dyDescent="0.15">
      <c r="B9" s="1" t="s">
        <v>16</v>
      </c>
      <c r="C9" s="69" t="s">
        <v>17</v>
      </c>
      <c r="D9" s="220" t="str">
        <f>IF(LOCAL_DE_EXECUCAO="","",LOCAL_DE_EXECUCAO)</f>
        <v>Sede da ESMPU</v>
      </c>
      <c r="E9" s="220"/>
      <c r="F9" s="220"/>
    </row>
    <row r="10" spans="2:6" s="99" customFormat="1" ht="18.75" customHeight="1" x14ac:dyDescent="0.3">
      <c r="B10" s="27" t="s">
        <v>19</v>
      </c>
      <c r="C10" s="142" t="s">
        <v>23</v>
      </c>
      <c r="D10" s="142"/>
      <c r="E10" s="142"/>
      <c r="F10" s="118" t="str">
        <f>ACORDO_COLETIVO</f>
        <v>01/2024</v>
      </c>
    </row>
    <row r="11" spans="2:6" s="99" customFormat="1" ht="15.95" customHeight="1" x14ac:dyDescent="0.3">
      <c r="B11" s="1" t="s">
        <v>22</v>
      </c>
      <c r="C11" s="220" t="s">
        <v>26</v>
      </c>
      <c r="D11" s="220"/>
      <c r="E11" s="220"/>
      <c r="F11" s="110">
        <f>NUMERO_MESES_EXEC_CONTRATUAL</f>
        <v>12</v>
      </c>
    </row>
    <row r="12" spans="2:6" s="99" customFormat="1" x14ac:dyDescent="0.3">
      <c r="B12" s="1" t="s">
        <v>25</v>
      </c>
      <c r="C12" s="221" t="s">
        <v>177</v>
      </c>
      <c r="D12" s="221"/>
      <c r="E12" s="221"/>
      <c r="F12" s="102">
        <f>IF(QTDE_DE_POSTOS_12X36_NOT=0,"",QTDE_DE_POSTOS_12X36_NOT)</f>
        <v>1</v>
      </c>
    </row>
    <row r="13" spans="2:6" s="124" customFormat="1" ht="21" customHeight="1" x14ac:dyDescent="0.2">
      <c r="B13" s="122" t="s">
        <v>46</v>
      </c>
      <c r="C13" s="123"/>
      <c r="D13" s="123"/>
      <c r="E13" s="123"/>
      <c r="F13" s="123"/>
    </row>
    <row r="14" spans="2:6" s="99" customFormat="1" x14ac:dyDescent="0.3">
      <c r="B14" s="27">
        <v>1</v>
      </c>
      <c r="C14" s="152" t="s">
        <v>38</v>
      </c>
      <c r="D14" s="152"/>
      <c r="E14" s="151" t="str">
        <f>TIPO_DE_SERVICO</f>
        <v>Vigilância</v>
      </c>
      <c r="F14" s="151"/>
    </row>
    <row r="15" spans="2:6" s="99" customFormat="1" x14ac:dyDescent="0.3">
      <c r="B15" s="27">
        <v>2</v>
      </c>
      <c r="C15" s="29" t="s">
        <v>40</v>
      </c>
      <c r="D15" s="149" t="str">
        <f>CBO</f>
        <v>5173-30</v>
      </c>
      <c r="E15" s="149"/>
      <c r="F15" s="149"/>
    </row>
    <row r="16" spans="2:6" s="99" customFormat="1" ht="15" customHeight="1" x14ac:dyDescent="0.3">
      <c r="B16" s="27">
        <v>3</v>
      </c>
      <c r="C16" s="58" t="s">
        <v>42</v>
      </c>
      <c r="D16" s="151" t="str">
        <f>CATEGORIA_PROFISSIONAL</f>
        <v>Vigilante</v>
      </c>
      <c r="E16" s="151"/>
      <c r="F16" s="151"/>
    </row>
    <row r="17" spans="2:6" s="99" customFormat="1" ht="15" customHeight="1" x14ac:dyDescent="0.3">
      <c r="B17" s="27">
        <v>4</v>
      </c>
      <c r="C17" s="153" t="s">
        <v>44</v>
      </c>
      <c r="D17" s="153"/>
      <c r="E17" s="153"/>
      <c r="F17" s="129">
        <f>DATA_BASE_CATEGORIA</f>
        <v>45292</v>
      </c>
    </row>
    <row r="18" spans="2:6" s="121" customFormat="1" ht="30" customHeight="1" x14ac:dyDescent="0.3">
      <c r="B18" s="216" t="s">
        <v>178</v>
      </c>
      <c r="C18" s="216"/>
      <c r="D18" s="216"/>
      <c r="E18" s="216"/>
      <c r="F18" s="216"/>
    </row>
    <row r="19" spans="2:6" x14ac:dyDescent="0.3">
      <c r="B19" s="188" t="s">
        <v>179</v>
      </c>
      <c r="C19" s="188"/>
      <c r="D19" s="188"/>
      <c r="E19" s="188"/>
      <c r="F19" s="115">
        <v>2</v>
      </c>
    </row>
    <row r="20" spans="2:6" x14ac:dyDescent="0.3">
      <c r="B20" s="53" t="s">
        <v>47</v>
      </c>
      <c r="E20" s="17"/>
      <c r="F20" s="17"/>
    </row>
    <row r="21" spans="2:6" x14ac:dyDescent="0.3">
      <c r="B21" s="1">
        <v>1</v>
      </c>
      <c r="C21" s="189" t="s">
        <v>48</v>
      </c>
      <c r="D21" s="189"/>
      <c r="E21" s="189"/>
      <c r="F21" s="4" t="s">
        <v>85</v>
      </c>
    </row>
    <row r="22" spans="2:6" x14ac:dyDescent="0.3">
      <c r="B22" s="1" t="s">
        <v>14</v>
      </c>
      <c r="C22" s="154" t="s">
        <v>180</v>
      </c>
      <c r="D22" s="154"/>
      <c r="E22" s="154"/>
      <c r="F22" s="59">
        <f>SALARIO_BASE</f>
        <v>2723.41</v>
      </c>
    </row>
    <row r="23" spans="2:6" x14ac:dyDescent="0.3">
      <c r="B23" s="1" t="s">
        <v>16</v>
      </c>
      <c r="C23" s="196" t="s">
        <v>181</v>
      </c>
      <c r="D23" s="196"/>
      <c r="E23" s="196"/>
      <c r="F23" s="13">
        <f>PERC_ADIC_PERIC%*SALARIO_BASE</f>
        <v>817.02</v>
      </c>
    </row>
    <row r="24" spans="2:6" ht="15.75" customHeight="1" x14ac:dyDescent="0.3">
      <c r="B24" s="1" t="s">
        <v>19</v>
      </c>
      <c r="C24" s="229" t="s">
        <v>194</v>
      </c>
      <c r="D24" s="229"/>
      <c r="E24" s="229"/>
      <c r="F24" s="59">
        <f>((F22+F23)/DIVISOR_DE_HORAS)*DIAS_NA_SEMANA*MEDIA_ANUAL_DIAS_TRABALHO_MES*PERC_ADIC_NOT%</f>
        <v>342.46</v>
      </c>
    </row>
    <row r="25" spans="2:6" ht="15.75" customHeight="1" x14ac:dyDescent="0.3">
      <c r="B25" s="1" t="s">
        <v>22</v>
      </c>
      <c r="C25" s="196" t="s">
        <v>195</v>
      </c>
      <c r="D25" s="196"/>
      <c r="E25" s="196"/>
      <c r="F25" s="13">
        <f>((F22+F23)/DIVISOR_DE_HORAS)*((HORA_NORMAL-HORA_NOTURNA)/HORA_NOTURNA)*DIAS_NA_SEMANA*MEDIA_ANUAL_DIAS_TRABALHO_MES*PERC_ADIC_NOT%</f>
        <v>48.92</v>
      </c>
    </row>
    <row r="26" spans="2:6" x14ac:dyDescent="0.3">
      <c r="B26" s="1" t="s">
        <v>25</v>
      </c>
      <c r="C26" s="207" t="str">
        <f>OUTROS_REMUNERACAO_1_DESCRICAO</f>
        <v>Outras Remunerações 1 (Especificar)</v>
      </c>
      <c r="D26" s="208"/>
      <c r="E26" s="209"/>
      <c r="F26" s="59">
        <f>OUTROS_REMUNERACAO_1</f>
        <v>0</v>
      </c>
    </row>
    <row r="27" spans="2:6" x14ac:dyDescent="0.3">
      <c r="B27" s="1" t="s">
        <v>55</v>
      </c>
      <c r="C27" s="210" t="str">
        <f>OUTROS_REMUNERACAO_2_DESCRICAO</f>
        <v>Outras Remunerações 2 (Especificar)</v>
      </c>
      <c r="D27" s="211"/>
      <c r="E27" s="212"/>
      <c r="F27" s="13">
        <f>OUTROS_REMUNERACAO_2</f>
        <v>0</v>
      </c>
    </row>
    <row r="28" spans="2:6" x14ac:dyDescent="0.3">
      <c r="B28" s="1" t="s">
        <v>57</v>
      </c>
      <c r="C28" s="207" t="str">
        <f>OUTROS_REMUNERACAO_3_DESCRICAO</f>
        <v>Outras Remunerações 3 (Especificar)</v>
      </c>
      <c r="D28" s="208"/>
      <c r="E28" s="209"/>
      <c r="F28" s="59">
        <f>OUTROS_REMUNERACAO_3</f>
        <v>0</v>
      </c>
    </row>
    <row r="29" spans="2:6" x14ac:dyDescent="0.3">
      <c r="B29" s="230" t="s">
        <v>155</v>
      </c>
      <c r="C29" s="230"/>
      <c r="D29" s="230"/>
      <c r="E29" s="230"/>
      <c r="F29" s="42">
        <f>SUM(F22:F28)</f>
        <v>3931.81</v>
      </c>
    </row>
    <row r="30" spans="2:6" x14ac:dyDescent="0.3">
      <c r="B30" s="53" t="s">
        <v>135</v>
      </c>
      <c r="E30" s="23"/>
      <c r="F30" s="23"/>
    </row>
    <row r="31" spans="2:6" x14ac:dyDescent="0.3">
      <c r="B31" s="53" t="s">
        <v>136</v>
      </c>
      <c r="C31" s="15"/>
      <c r="D31" s="24"/>
      <c r="E31" s="22"/>
      <c r="F31" s="22"/>
    </row>
    <row r="32" spans="2:6" x14ac:dyDescent="0.3">
      <c r="B32" s="1" t="s">
        <v>137</v>
      </c>
      <c r="C32" s="188" t="s">
        <v>138</v>
      </c>
      <c r="D32" s="188"/>
      <c r="E32" s="4" t="s">
        <v>75</v>
      </c>
      <c r="F32" s="4" t="s">
        <v>85</v>
      </c>
    </row>
    <row r="33" spans="2:6" x14ac:dyDescent="0.3">
      <c r="B33" s="1" t="s">
        <v>14</v>
      </c>
      <c r="C33" s="195" t="s">
        <v>140</v>
      </c>
      <c r="D33" s="195"/>
      <c r="E33" s="61">
        <f>PERC_DEC_TERC</f>
        <v>8.33</v>
      </c>
      <c r="F33" s="60">
        <f>PERC_DEC_TERC%*F29</f>
        <v>327.52</v>
      </c>
    </row>
    <row r="34" spans="2:6" x14ac:dyDescent="0.3">
      <c r="B34" s="2" t="s">
        <v>16</v>
      </c>
      <c r="C34" s="196" t="s">
        <v>142</v>
      </c>
      <c r="D34" s="196"/>
      <c r="E34" s="40">
        <f>PERC_ADIC_FERIAS</f>
        <v>2.78</v>
      </c>
      <c r="F34" s="38">
        <f>PERC_ADIC_FERIAS%*F29</f>
        <v>109.3</v>
      </c>
    </row>
    <row r="35" spans="2:6" s="106" customFormat="1" x14ac:dyDescent="0.3">
      <c r="B35" s="177" t="s">
        <v>155</v>
      </c>
      <c r="C35" s="178"/>
      <c r="D35" s="178"/>
      <c r="E35" s="179"/>
      <c r="F35" s="43">
        <f>SUM(F33:F34)</f>
        <v>436.82</v>
      </c>
    </row>
    <row r="36" spans="2:6" s="106" customFormat="1" ht="31.5" customHeight="1" x14ac:dyDescent="0.3">
      <c r="B36" s="231" t="s">
        <v>144</v>
      </c>
      <c r="C36" s="231"/>
      <c r="D36" s="231"/>
      <c r="E36" s="231"/>
      <c r="F36" s="231"/>
    </row>
    <row r="37" spans="2:6" s="106" customFormat="1" ht="34.5" customHeight="1" x14ac:dyDescent="0.3">
      <c r="B37" s="1" t="s">
        <v>145</v>
      </c>
      <c r="C37" s="201" t="s">
        <v>146</v>
      </c>
      <c r="D37" s="201"/>
      <c r="E37" s="4" t="s">
        <v>75</v>
      </c>
      <c r="F37" s="4" t="s">
        <v>85</v>
      </c>
    </row>
    <row r="38" spans="2:6" x14ac:dyDescent="0.3">
      <c r="B38" s="1" t="s">
        <v>14</v>
      </c>
      <c r="C38" s="195" t="s">
        <v>147</v>
      </c>
      <c r="D38" s="195"/>
      <c r="E38" s="61">
        <f>PERC_INSS</f>
        <v>20</v>
      </c>
      <c r="F38" s="60">
        <f>PERC_INSS%*(F29+F35)</f>
        <v>873.73</v>
      </c>
    </row>
    <row r="39" spans="2:6" s="99" customFormat="1" x14ac:dyDescent="0.15">
      <c r="B39" s="2" t="s">
        <v>16</v>
      </c>
      <c r="C39" s="196" t="s">
        <v>148</v>
      </c>
      <c r="D39" s="196"/>
      <c r="E39" s="48">
        <f>PERC_SAL_EDUCACAO</f>
        <v>2.5</v>
      </c>
      <c r="F39" s="38">
        <f>PERC_SAL_EDUCACAO%*(F29+F35)</f>
        <v>109.22</v>
      </c>
    </row>
    <row r="40" spans="2:6" s="99" customFormat="1" x14ac:dyDescent="0.15">
      <c r="B40" s="2" t="s">
        <v>19</v>
      </c>
      <c r="C40" s="195" t="s">
        <v>149</v>
      </c>
      <c r="D40" s="195"/>
      <c r="E40" s="61">
        <f>PERC_RAT</f>
        <v>3</v>
      </c>
      <c r="F40" s="60">
        <f>PERC_RAT%*(F29+F35)</f>
        <v>131.06</v>
      </c>
    </row>
    <row r="41" spans="2:6" s="99" customFormat="1" x14ac:dyDescent="0.15">
      <c r="B41" s="2" t="s">
        <v>22</v>
      </c>
      <c r="C41" s="196" t="s">
        <v>150</v>
      </c>
      <c r="D41" s="196"/>
      <c r="E41" s="40">
        <f>PERC_SESC</f>
        <v>1.5</v>
      </c>
      <c r="F41" s="38">
        <f>PERC_SESC%*(F29+F35)</f>
        <v>65.53</v>
      </c>
    </row>
    <row r="42" spans="2:6" s="99" customFormat="1" x14ac:dyDescent="0.15">
      <c r="B42" s="2" t="s">
        <v>25</v>
      </c>
      <c r="C42" s="195" t="s">
        <v>151</v>
      </c>
      <c r="D42" s="195"/>
      <c r="E42" s="61">
        <f>PERC_SENAC</f>
        <v>1</v>
      </c>
      <c r="F42" s="60">
        <f>PERC_SENAC%*(F29+F35)</f>
        <v>43.69</v>
      </c>
    </row>
    <row r="43" spans="2:6" s="99" customFormat="1" x14ac:dyDescent="0.15">
      <c r="B43" s="2" t="s">
        <v>55</v>
      </c>
      <c r="C43" s="196" t="s">
        <v>152</v>
      </c>
      <c r="D43" s="196"/>
      <c r="E43" s="48">
        <f>PERC_SEBRAE</f>
        <v>0.6</v>
      </c>
      <c r="F43" s="38">
        <f>PERC_SEBRAE%*(F29+F35)</f>
        <v>26.21</v>
      </c>
    </row>
    <row r="44" spans="2:6" s="99" customFormat="1" x14ac:dyDescent="0.15">
      <c r="B44" s="2" t="s">
        <v>57</v>
      </c>
      <c r="C44" s="195" t="s">
        <v>153</v>
      </c>
      <c r="D44" s="195"/>
      <c r="E44" s="61">
        <f>PERC_INCRA</f>
        <v>0.2</v>
      </c>
      <c r="F44" s="60">
        <f>PERC_INCRA%*(F29+F35)</f>
        <v>8.74</v>
      </c>
    </row>
    <row r="45" spans="2:6" x14ac:dyDescent="0.3">
      <c r="B45" s="2" t="s">
        <v>129</v>
      </c>
      <c r="C45" s="196" t="s">
        <v>154</v>
      </c>
      <c r="D45" s="196"/>
      <c r="E45" s="48">
        <f>PERC_FGTS</f>
        <v>8</v>
      </c>
      <c r="F45" s="38">
        <f>PERC_FGTS%*(F29+F35)</f>
        <v>349.49</v>
      </c>
    </row>
    <row r="46" spans="2:6" x14ac:dyDescent="0.3">
      <c r="B46" s="177" t="s">
        <v>155</v>
      </c>
      <c r="C46" s="178"/>
      <c r="D46" s="178"/>
      <c r="E46" s="179"/>
      <c r="F46" s="44">
        <f>SUM(F38:F45)</f>
        <v>1607.67</v>
      </c>
    </row>
    <row r="47" spans="2:6" ht="15.75" customHeight="1" x14ac:dyDescent="0.3">
      <c r="B47" s="53" t="s">
        <v>59</v>
      </c>
      <c r="C47" s="99"/>
      <c r="D47" s="99"/>
      <c r="E47" s="99"/>
      <c r="F47" s="99"/>
    </row>
    <row r="48" spans="2:6" ht="15.75" customHeight="1" x14ac:dyDescent="0.3">
      <c r="B48" s="1" t="s">
        <v>60</v>
      </c>
      <c r="C48" s="189" t="s">
        <v>61</v>
      </c>
      <c r="D48" s="189"/>
      <c r="E48" s="189"/>
      <c r="F48" s="4" t="s">
        <v>85</v>
      </c>
    </row>
    <row r="49" spans="2:6" x14ac:dyDescent="0.3">
      <c r="B49" s="27" t="s">
        <v>14</v>
      </c>
      <c r="C49" s="195" t="s">
        <v>64</v>
      </c>
      <c r="D49" s="195"/>
      <c r="E49" s="195"/>
      <c r="F49" s="60">
        <f>IF(((TRANSPORTE_POR_DIA*DIAS_TRABALHADOS_NO_MES_12X36)-(PERC_DESC_TRANSP_REMUNERACAO%*(F22)))&gt;0,((TRANSPORTE_POR_DIA*DIAS_TRABALHADOS_NO_MES_12X36)-(PERC_DESC_TRANSP_REMUNERACAO%*(F22))),0)</f>
        <v>1.6</v>
      </c>
    </row>
    <row r="50" spans="2:6" s="106" customFormat="1" x14ac:dyDescent="0.3">
      <c r="B50" s="27" t="s">
        <v>16</v>
      </c>
      <c r="C50" s="196" t="s">
        <v>66</v>
      </c>
      <c r="D50" s="196"/>
      <c r="E50" s="196"/>
      <c r="F50" s="38">
        <f>ALIMENTACAO_POR_DIA*DIAS_TRABALHADOS_NO_MES_12X36</f>
        <v>710.55</v>
      </c>
    </row>
    <row r="51" spans="2:6" s="106" customFormat="1" x14ac:dyDescent="0.3">
      <c r="B51" s="27" t="s">
        <v>19</v>
      </c>
      <c r="C51" s="207" t="str">
        <f>OUTROS_BENEFICIOS_1_DESCRICAO</f>
        <v>Seguro de vida em grupo</v>
      </c>
      <c r="D51" s="208"/>
      <c r="E51" s="209"/>
      <c r="F51" s="60">
        <f>OUTROS_BENEFICIOS_1</f>
        <v>25.26</v>
      </c>
    </row>
    <row r="52" spans="2:6" s="106" customFormat="1" x14ac:dyDescent="0.3">
      <c r="B52" s="27" t="s">
        <v>22</v>
      </c>
      <c r="C52" s="210" t="str">
        <f>OUTROS_BENEFICIOS_2_DESCRICAO</f>
        <v>Outros Benefícios 2 (Especificar)</v>
      </c>
      <c r="D52" s="211"/>
      <c r="E52" s="212"/>
      <c r="F52" s="38">
        <f>OUTROS_BENEFICIOS_2</f>
        <v>0</v>
      </c>
    </row>
    <row r="53" spans="2:6" s="106" customFormat="1" x14ac:dyDescent="0.3">
      <c r="B53" s="27" t="s">
        <v>25</v>
      </c>
      <c r="C53" s="207" t="str">
        <f>OUTROS_BENEFICIOS_3_DESCRICAO</f>
        <v>Outros Benefícios 3 (Especificar)</v>
      </c>
      <c r="D53" s="208"/>
      <c r="E53" s="209"/>
      <c r="F53" s="60">
        <f>OUTROS_BENEFICIOS_3</f>
        <v>0</v>
      </c>
    </row>
    <row r="54" spans="2:6" s="106" customFormat="1" ht="15" customHeight="1" x14ac:dyDescent="0.3">
      <c r="B54" s="230" t="s">
        <v>155</v>
      </c>
      <c r="C54" s="230"/>
      <c r="D54" s="230"/>
      <c r="E54" s="230"/>
      <c r="F54" s="42">
        <f>SUM(F49:F53)</f>
        <v>737.41</v>
      </c>
    </row>
    <row r="55" spans="2:6" s="106" customFormat="1" x14ac:dyDescent="0.3">
      <c r="B55" s="53" t="s">
        <v>115</v>
      </c>
      <c r="C55" s="15"/>
      <c r="D55" s="24"/>
      <c r="E55" s="22"/>
      <c r="F55" s="22"/>
    </row>
    <row r="56" spans="2:6" s="106" customFormat="1" ht="15" customHeight="1" x14ac:dyDescent="0.3">
      <c r="B56" s="1">
        <v>3</v>
      </c>
      <c r="C56" s="188" t="s">
        <v>116</v>
      </c>
      <c r="D56" s="188"/>
      <c r="E56" s="4" t="s">
        <v>75</v>
      </c>
      <c r="F56" s="4" t="s">
        <v>85</v>
      </c>
    </row>
    <row r="57" spans="2:6" s="106" customFormat="1" x14ac:dyDescent="0.3">
      <c r="B57" s="1" t="s">
        <v>14</v>
      </c>
      <c r="C57" s="198" t="s">
        <v>156</v>
      </c>
      <c r="D57" s="198"/>
      <c r="E57" s="61">
        <f>PERC_AVISO_PREVIO_IND</f>
        <v>0.28999999999999998</v>
      </c>
      <c r="F57" s="60">
        <f>PERC_AVISO_PREVIO_IND%*(F29+F35+F45+F54)</f>
        <v>15.82</v>
      </c>
    </row>
    <row r="58" spans="2:6" s="106" customFormat="1" x14ac:dyDescent="0.3">
      <c r="B58" s="2" t="s">
        <v>16</v>
      </c>
      <c r="C58" s="200" t="s">
        <v>158</v>
      </c>
      <c r="D58" s="200"/>
      <c r="E58" s="48">
        <f>PERC_AVISO_PREVIO_TRAB</f>
        <v>1.1599999999999999</v>
      </c>
      <c r="F58" s="38">
        <f>PERC_AVISO_PREVIO_TRAB%*(F29+F35+F46+F54)</f>
        <v>77.88</v>
      </c>
    </row>
    <row r="59" spans="2:6" s="99" customFormat="1" x14ac:dyDescent="0.15">
      <c r="B59" s="2" t="s">
        <v>19</v>
      </c>
      <c r="C59" s="198" t="s">
        <v>160</v>
      </c>
      <c r="D59" s="198"/>
      <c r="E59" s="61">
        <f>PERC_MULTA_FGTS_AV_PREV_TRAB</f>
        <v>0.04</v>
      </c>
      <c r="F59" s="60">
        <f>PERC_MULTA_FGTS_AV_PREV_TRAB%*(F29+F35)</f>
        <v>1.75</v>
      </c>
    </row>
    <row r="60" spans="2:6" s="99" customFormat="1" x14ac:dyDescent="0.3">
      <c r="B60" s="177" t="s">
        <v>155</v>
      </c>
      <c r="C60" s="178"/>
      <c r="D60" s="178"/>
      <c r="E60" s="179"/>
      <c r="F60" s="43">
        <f>SUM(F57:F59)</f>
        <v>95.45</v>
      </c>
    </row>
    <row r="61" spans="2:6" ht="7.5" customHeight="1" x14ac:dyDescent="0.3">
      <c r="B61" s="19"/>
      <c r="C61" s="16"/>
      <c r="D61" s="20"/>
      <c r="E61" s="17"/>
      <c r="F61" s="17"/>
    </row>
    <row r="62" spans="2:6" s="99" customFormat="1" ht="15.95" customHeight="1" x14ac:dyDescent="0.3">
      <c r="B62" s="53" t="s">
        <v>71</v>
      </c>
      <c r="C62" s="15"/>
      <c r="D62" s="24"/>
      <c r="E62" s="16"/>
      <c r="F62" s="16"/>
    </row>
    <row r="63" spans="2:6" s="99" customFormat="1" ht="15.95" customHeight="1" x14ac:dyDescent="0.3">
      <c r="B63" s="53" t="s">
        <v>72</v>
      </c>
      <c r="C63" s="15"/>
      <c r="D63" s="24"/>
      <c r="E63" s="22"/>
      <c r="F63" s="22"/>
    </row>
    <row r="64" spans="2:6" s="99" customFormat="1" x14ac:dyDescent="0.15">
      <c r="B64" s="1" t="s">
        <v>73</v>
      </c>
      <c r="C64" s="199" t="s">
        <v>74</v>
      </c>
      <c r="D64" s="199"/>
      <c r="E64" s="4" t="s">
        <v>75</v>
      </c>
      <c r="F64" s="4" t="s">
        <v>85</v>
      </c>
    </row>
    <row r="65" spans="2:6" s="99" customFormat="1" ht="15.95" customHeight="1" x14ac:dyDescent="0.15">
      <c r="B65" s="2" t="s">
        <v>14</v>
      </c>
      <c r="C65" s="195" t="s">
        <v>162</v>
      </c>
      <c r="D65" s="195"/>
      <c r="E65" s="61">
        <f>PERC_SUBSTITUTO_FERIAS</f>
        <v>8.33</v>
      </c>
      <c r="F65" s="60">
        <f>PERC_SUBSTITUTO_FERIAS%*(F29+F35+F46+F54+F60)</f>
        <v>567.20000000000005</v>
      </c>
    </row>
    <row r="66" spans="2:6" s="99" customFormat="1" ht="15.95" customHeight="1" x14ac:dyDescent="0.15">
      <c r="B66" s="2" t="s">
        <v>16</v>
      </c>
      <c r="C66" s="196" t="s">
        <v>164</v>
      </c>
      <c r="D66" s="196"/>
      <c r="E66" s="48">
        <f>PERC_SUBSTITUTO_AUSENCIAS_LEGAIS</f>
        <v>2.2200000000000002</v>
      </c>
      <c r="F66" s="38">
        <f>PERC_SUBSTITUTO_AUSENCIAS_LEGAIS%*(F29+F35+F46+F54+F60)</f>
        <v>151.16</v>
      </c>
    </row>
    <row r="67" spans="2:6" s="99" customFormat="1" ht="15.95" customHeight="1" x14ac:dyDescent="0.15">
      <c r="B67" s="2" t="s">
        <v>19</v>
      </c>
      <c r="C67" s="195" t="s">
        <v>166</v>
      </c>
      <c r="D67" s="195"/>
      <c r="E67" s="61">
        <f>PERC_SUBSTITUTO_LICENCA_PATERNIDADE</f>
        <v>7.0000000000000007E-2</v>
      </c>
      <c r="F67" s="60">
        <f>PERC_SUBSTITUTO_LICENCA_PATERNIDADE%*(F29+F35+F46+F54+F60)</f>
        <v>4.7699999999999996</v>
      </c>
    </row>
    <row r="68" spans="2:6" s="99" customFormat="1" x14ac:dyDescent="0.15">
      <c r="B68" s="2" t="s">
        <v>22</v>
      </c>
      <c r="C68" s="196" t="s">
        <v>168</v>
      </c>
      <c r="D68" s="196"/>
      <c r="E68" s="48">
        <f>PERC_SUBSTITUTO_ACID_TRAB</f>
        <v>0.02</v>
      </c>
      <c r="F68" s="38">
        <f>PERC_SUBSTITUTO_ACID_TRAB%*(F29+F35+F46+F54+F60)</f>
        <v>1.36</v>
      </c>
    </row>
    <row r="69" spans="2:6" s="99" customFormat="1" x14ac:dyDescent="0.15">
      <c r="B69" s="2" t="s">
        <v>25</v>
      </c>
      <c r="C69" s="195" t="s">
        <v>170</v>
      </c>
      <c r="D69" s="195"/>
      <c r="E69" s="61">
        <f>PERC_SUBSTITUTO_AFAST_MATERN</f>
        <v>0.04</v>
      </c>
      <c r="F69" s="60">
        <f>PERC_SUBSTITUTO_AFAST_MATERN%*(F29+F35+F46+F54+F60)</f>
        <v>2.72</v>
      </c>
    </row>
    <row r="70" spans="2:6" s="99" customFormat="1" x14ac:dyDescent="0.15">
      <c r="B70" s="2" t="s">
        <v>55</v>
      </c>
      <c r="C70" s="206" t="str">
        <f>OUTRAS_AUSENCIAS_DESCRICAO</f>
        <v>Outras Ausências (Especificar - em %)</v>
      </c>
      <c r="D70" s="196"/>
      <c r="E70" s="55">
        <f>PERC_SUBSTITUTO_OUTRAS_AUSENCIAS</f>
        <v>0</v>
      </c>
      <c r="F70" s="38">
        <f>PERC_SUBSTITUTO_OUTRAS_AUSENCIAS%*(F29+F35+F46+F54+F60)</f>
        <v>0</v>
      </c>
    </row>
    <row r="71" spans="2:6" s="99" customFormat="1" x14ac:dyDescent="0.3">
      <c r="B71" s="177" t="s">
        <v>155</v>
      </c>
      <c r="C71" s="178"/>
      <c r="D71" s="178"/>
      <c r="E71" s="179"/>
      <c r="F71" s="43">
        <f>SUM(F65:F70)</f>
        <v>727.21</v>
      </c>
    </row>
    <row r="72" spans="2:6" s="99" customFormat="1" ht="15" customHeight="1" x14ac:dyDescent="0.3">
      <c r="B72" s="53" t="s">
        <v>77</v>
      </c>
      <c r="C72" s="15"/>
      <c r="D72" s="24"/>
      <c r="E72" s="22"/>
      <c r="F72" s="22"/>
    </row>
    <row r="73" spans="2:6" s="99" customFormat="1" x14ac:dyDescent="0.15">
      <c r="B73" s="1" t="s">
        <v>78</v>
      </c>
      <c r="C73" s="188" t="s">
        <v>79</v>
      </c>
      <c r="D73" s="188"/>
      <c r="E73" s="188"/>
      <c r="F73" s="4" t="s">
        <v>85</v>
      </c>
    </row>
    <row r="74" spans="2:6" s="99" customFormat="1" x14ac:dyDescent="0.15">
      <c r="B74" s="1" t="s">
        <v>14</v>
      </c>
      <c r="C74" s="195" t="s">
        <v>182</v>
      </c>
      <c r="D74" s="195"/>
      <c r="E74" s="195"/>
      <c r="F74" s="59">
        <f>((F29+F35+F46+F54+F60)/DIVISOR_DE_HORAS)*((TEMPO_INTERVALO_REFEICAO/HORA_NORMAL)+PERC_HORA_EXTRA%)*DIAS_TRABALHADOS_NO_MES_12X36</f>
        <v>696.39</v>
      </c>
    </row>
    <row r="75" spans="2:6" s="99" customFormat="1" x14ac:dyDescent="0.3">
      <c r="B75" s="188" t="s">
        <v>155</v>
      </c>
      <c r="C75" s="188"/>
      <c r="D75" s="188"/>
      <c r="E75" s="188"/>
      <c r="F75" s="43">
        <f>SUM(F74)</f>
        <v>696.39</v>
      </c>
    </row>
    <row r="76" spans="2:6" ht="7.5" customHeight="1" x14ac:dyDescent="0.3">
      <c r="B76" s="19"/>
      <c r="C76" s="16"/>
      <c r="D76" s="20"/>
      <c r="E76" s="17"/>
      <c r="F76" s="17"/>
    </row>
    <row r="77" spans="2:6" x14ac:dyDescent="0.3">
      <c r="B77" s="53" t="s">
        <v>83</v>
      </c>
      <c r="C77" s="15"/>
      <c r="D77" s="15"/>
      <c r="E77" s="22"/>
      <c r="F77" s="22"/>
    </row>
    <row r="78" spans="2:6" ht="15.75" customHeight="1" x14ac:dyDescent="0.3">
      <c r="B78" s="51">
        <v>5</v>
      </c>
      <c r="C78" s="180" t="s">
        <v>84</v>
      </c>
      <c r="D78" s="180"/>
      <c r="E78" s="180"/>
      <c r="F78" s="52" t="s">
        <v>85</v>
      </c>
    </row>
    <row r="79" spans="2:6" x14ac:dyDescent="0.3">
      <c r="B79" s="46" t="s">
        <v>14</v>
      </c>
      <c r="C79" s="181" t="s">
        <v>86</v>
      </c>
      <c r="D79" s="181"/>
      <c r="E79" s="181"/>
      <c r="F79" s="62">
        <f>UNIFORMES</f>
        <v>76.69</v>
      </c>
    </row>
    <row r="80" spans="2:6" x14ac:dyDescent="0.3">
      <c r="B80" s="46" t="s">
        <v>16</v>
      </c>
      <c r="C80" s="182" t="s">
        <v>87</v>
      </c>
      <c r="D80" s="182"/>
      <c r="E80" s="182"/>
      <c r="F80" s="49">
        <f>MATERIAIS</f>
        <v>132.86000000000001</v>
      </c>
    </row>
    <row r="81" spans="2:6" x14ac:dyDescent="0.3">
      <c r="B81" s="46" t="s">
        <v>19</v>
      </c>
      <c r="C81" s="181" t="s">
        <v>88</v>
      </c>
      <c r="D81" s="181"/>
      <c r="E81" s="181"/>
      <c r="F81" s="62">
        <f>EQUIPAMENTOS</f>
        <v>0</v>
      </c>
    </row>
    <row r="82" spans="2:6" x14ac:dyDescent="0.3">
      <c r="B82" s="46" t="s">
        <v>22</v>
      </c>
      <c r="C82" s="204" t="str">
        <f>OUTROS_INSUMOS_DESCRICAO</f>
        <v>Outros (Especificar)</v>
      </c>
      <c r="D82" s="182"/>
      <c r="E82" s="182"/>
      <c r="F82" s="49">
        <f>OUTROS_INSUMOS</f>
        <v>0</v>
      </c>
    </row>
    <row r="83" spans="2:6" x14ac:dyDescent="0.3">
      <c r="B83" s="205" t="s">
        <v>155</v>
      </c>
      <c r="C83" s="205"/>
      <c r="D83" s="205"/>
      <c r="E83" s="205"/>
      <c r="F83" s="45">
        <f>SUM(F79:F82)</f>
        <v>209.55</v>
      </c>
    </row>
    <row r="84" spans="2:6" ht="7.5" customHeight="1" x14ac:dyDescent="0.3">
      <c r="B84" s="19"/>
      <c r="C84" s="16"/>
      <c r="D84" s="20"/>
      <c r="E84" s="17"/>
      <c r="F84" s="17"/>
    </row>
    <row r="85" spans="2:6" ht="15" customHeight="1" x14ac:dyDescent="0.3">
      <c r="B85" s="173" t="s">
        <v>90</v>
      </c>
      <c r="C85" s="173"/>
      <c r="D85" s="173"/>
      <c r="E85" s="173"/>
      <c r="F85" s="173"/>
    </row>
    <row r="86" spans="2:6" x14ac:dyDescent="0.3">
      <c r="B86" s="1">
        <v>6</v>
      </c>
      <c r="C86" s="188" t="s">
        <v>91</v>
      </c>
      <c r="D86" s="188"/>
      <c r="E86" s="4" t="s">
        <v>75</v>
      </c>
      <c r="F86" s="4" t="s">
        <v>85</v>
      </c>
    </row>
    <row r="87" spans="2:6" x14ac:dyDescent="0.3">
      <c r="B87" s="1" t="s">
        <v>14</v>
      </c>
      <c r="C87" s="195" t="s">
        <v>92</v>
      </c>
      <c r="D87" s="195"/>
      <c r="E87" s="63">
        <f>PERC_CUSTOS_INDIRETOS</f>
        <v>4.8499999999999996</v>
      </c>
      <c r="F87" s="60">
        <f>PERC_CUSTOS_INDIRETOS%*(F29+F35+F46+F54+F60+F71+F75+F83)</f>
        <v>409.45</v>
      </c>
    </row>
    <row r="88" spans="2:6" ht="15.75" customHeight="1" x14ac:dyDescent="0.3">
      <c r="B88" s="2" t="s">
        <v>16</v>
      </c>
      <c r="C88" s="196" t="s">
        <v>93</v>
      </c>
      <c r="D88" s="196"/>
      <c r="E88" s="50">
        <f>PERC_LUCRO</f>
        <v>5.45</v>
      </c>
      <c r="F88" s="38">
        <f>PERC_LUCRO%*(F29+F35+F46+F54+F60+F71+F75+F83+F87)</f>
        <v>482.42</v>
      </c>
    </row>
    <row r="89" spans="2:6" x14ac:dyDescent="0.3">
      <c r="B89" s="2" t="s">
        <v>19</v>
      </c>
      <c r="C89" s="195" t="s">
        <v>183</v>
      </c>
      <c r="D89" s="195"/>
      <c r="E89" s="63">
        <f>SUM(E90:E92)</f>
        <v>8.65</v>
      </c>
      <c r="F89" s="60">
        <f>SUM(F90:F92)</f>
        <v>819.15</v>
      </c>
    </row>
    <row r="90" spans="2:6" ht="15.75" customHeight="1" x14ac:dyDescent="0.3">
      <c r="B90" s="32" t="s">
        <v>94</v>
      </c>
      <c r="C90" s="203" t="s">
        <v>95</v>
      </c>
      <c r="D90" s="203"/>
      <c r="E90" s="33">
        <f>PERC_PIS</f>
        <v>0.65</v>
      </c>
      <c r="F90" s="65">
        <f>((F29+F35+F46+54+F60+F71+F75+F83+F87+F88)*E90%)/(1-E89%)</f>
        <v>61.55</v>
      </c>
    </row>
    <row r="91" spans="2:6" x14ac:dyDescent="0.3">
      <c r="B91" s="32" t="s">
        <v>96</v>
      </c>
      <c r="C91" s="202" t="s">
        <v>97</v>
      </c>
      <c r="D91" s="202"/>
      <c r="E91" s="64">
        <f>PERC_COFINS</f>
        <v>3</v>
      </c>
      <c r="F91" s="66">
        <f>((F29+F35+F46+54+F60+F71+F75+F83+F87+F88)*E91%)/(1-E89%)</f>
        <v>284.10000000000002</v>
      </c>
    </row>
    <row r="92" spans="2:6" s="107" customFormat="1" x14ac:dyDescent="0.3">
      <c r="B92" s="32" t="s">
        <v>98</v>
      </c>
      <c r="C92" s="203" t="s">
        <v>99</v>
      </c>
      <c r="D92" s="203"/>
      <c r="E92" s="33">
        <f>PERC_ISS</f>
        <v>5</v>
      </c>
      <c r="F92" s="65">
        <f>((F29+F35+F46+54+F60+F71+F75+F83+F87+F88)*E92%)/(1-E89%)</f>
        <v>473.5</v>
      </c>
    </row>
    <row r="93" spans="2:6" s="107" customFormat="1" x14ac:dyDescent="0.3">
      <c r="B93" s="177" t="s">
        <v>155</v>
      </c>
      <c r="C93" s="178"/>
      <c r="D93" s="178"/>
      <c r="E93" s="179"/>
      <c r="F93" s="39">
        <f>F87+F88+F89</f>
        <v>1711.02</v>
      </c>
    </row>
    <row r="94" spans="2:6" s="107" customFormat="1" ht="20.25" x14ac:dyDescent="0.3">
      <c r="B94" s="54" t="s">
        <v>184</v>
      </c>
      <c r="C94" s="18"/>
      <c r="D94" s="18"/>
      <c r="E94" s="18"/>
      <c r="F94" s="25"/>
    </row>
    <row r="95" spans="2:6" s="108" customFormat="1" ht="16.5" customHeight="1" x14ac:dyDescent="0.3">
      <c r="B95" s="2" t="s">
        <v>185</v>
      </c>
      <c r="C95" s="185" t="s">
        <v>186</v>
      </c>
      <c r="D95" s="186"/>
      <c r="E95" s="187"/>
      <c r="F95" s="4" t="s">
        <v>187</v>
      </c>
    </row>
    <row r="96" spans="2:6" s="107" customFormat="1" x14ac:dyDescent="0.3">
      <c r="B96" s="1">
        <v>1</v>
      </c>
      <c r="C96" s="195" t="s">
        <v>48</v>
      </c>
      <c r="D96" s="195"/>
      <c r="E96" s="195"/>
      <c r="F96" s="60">
        <f>F29</f>
        <v>3931.81</v>
      </c>
    </row>
    <row r="97" spans="2:6" s="109" customFormat="1" ht="16.5" customHeight="1" x14ac:dyDescent="0.3">
      <c r="B97" s="2">
        <v>2</v>
      </c>
      <c r="C97" s="196" t="s">
        <v>188</v>
      </c>
      <c r="D97" s="196"/>
      <c r="E97" s="196"/>
      <c r="F97" s="38">
        <f>F35+F46+F54</f>
        <v>2781.9</v>
      </c>
    </row>
    <row r="98" spans="2:6" s="109" customFormat="1" x14ac:dyDescent="0.3">
      <c r="B98" s="2">
        <v>3</v>
      </c>
      <c r="C98" s="195" t="s">
        <v>116</v>
      </c>
      <c r="D98" s="195"/>
      <c r="E98" s="195"/>
      <c r="F98" s="60">
        <f>F60</f>
        <v>95.45</v>
      </c>
    </row>
    <row r="99" spans="2:6" s="109" customFormat="1" x14ac:dyDescent="0.3">
      <c r="B99" s="2">
        <v>4</v>
      </c>
      <c r="C99" s="196" t="s">
        <v>189</v>
      </c>
      <c r="D99" s="196"/>
      <c r="E99" s="196"/>
      <c r="F99" s="38">
        <f>F71+F75</f>
        <v>1423.6</v>
      </c>
    </row>
    <row r="100" spans="2:6" s="109" customFormat="1" x14ac:dyDescent="0.3">
      <c r="B100" s="2">
        <v>5</v>
      </c>
      <c r="C100" s="195" t="s">
        <v>84</v>
      </c>
      <c r="D100" s="195"/>
      <c r="E100" s="195"/>
      <c r="F100" s="60">
        <f>F83</f>
        <v>209.55</v>
      </c>
    </row>
    <row r="101" spans="2:6" s="109" customFormat="1" x14ac:dyDescent="0.3">
      <c r="B101" s="2">
        <v>6</v>
      </c>
      <c r="C101" s="196" t="s">
        <v>91</v>
      </c>
      <c r="D101" s="196"/>
      <c r="E101" s="196"/>
      <c r="F101" s="38">
        <f>F93</f>
        <v>1711.02</v>
      </c>
    </row>
    <row r="102" spans="2:6" ht="16.5" customHeight="1" x14ac:dyDescent="0.3">
      <c r="B102" s="199" t="s">
        <v>190</v>
      </c>
      <c r="C102" s="199"/>
      <c r="D102" s="199"/>
      <c r="E102" s="199"/>
      <c r="F102" s="39">
        <f>SUM(F96:F101)</f>
        <v>10153.33</v>
      </c>
    </row>
    <row r="103" spans="2:6" ht="16.5" customHeight="1" x14ac:dyDescent="0.3">
      <c r="B103" s="199" t="s">
        <v>191</v>
      </c>
      <c r="C103" s="199"/>
      <c r="D103" s="199"/>
      <c r="E103" s="199"/>
      <c r="F103" s="39">
        <f>F102*F19</f>
        <v>20306.66</v>
      </c>
    </row>
    <row r="105" spans="2:6" x14ac:dyDescent="0.3">
      <c r="B105" s="16" t="s">
        <v>192</v>
      </c>
    </row>
  </sheetData>
  <mergeCells count="92">
    <mergeCell ref="B102:E102"/>
    <mergeCell ref="B103:E103"/>
    <mergeCell ref="C96:E96"/>
    <mergeCell ref="C97:E97"/>
    <mergeCell ref="C98:E98"/>
    <mergeCell ref="C99:E99"/>
    <mergeCell ref="C100:E100"/>
    <mergeCell ref="C101:E101"/>
    <mergeCell ref="C95:E95"/>
    <mergeCell ref="C82:E82"/>
    <mergeCell ref="B83:E83"/>
    <mergeCell ref="B85:F85"/>
    <mergeCell ref="C86:D86"/>
    <mergeCell ref="C87:D87"/>
    <mergeCell ref="C88:D88"/>
    <mergeCell ref="C89:D89"/>
    <mergeCell ref="C90:D90"/>
    <mergeCell ref="C91:D91"/>
    <mergeCell ref="C92:D92"/>
    <mergeCell ref="B93:E93"/>
    <mergeCell ref="C81:E81"/>
    <mergeCell ref="C67:D67"/>
    <mergeCell ref="C68:D68"/>
    <mergeCell ref="C69:D69"/>
    <mergeCell ref="C70:D70"/>
    <mergeCell ref="B71:E71"/>
    <mergeCell ref="C73:E73"/>
    <mergeCell ref="C74:E74"/>
    <mergeCell ref="B75:E75"/>
    <mergeCell ref="C78:E78"/>
    <mergeCell ref="C79:E79"/>
    <mergeCell ref="C80:E80"/>
    <mergeCell ref="C66:D66"/>
    <mergeCell ref="C51:E51"/>
    <mergeCell ref="C52:E52"/>
    <mergeCell ref="C53:E53"/>
    <mergeCell ref="B54:E54"/>
    <mergeCell ref="C56:D56"/>
    <mergeCell ref="C57:D57"/>
    <mergeCell ref="C58:D58"/>
    <mergeCell ref="C59:D59"/>
    <mergeCell ref="B60:E60"/>
    <mergeCell ref="C64:D64"/>
    <mergeCell ref="C65:D65"/>
    <mergeCell ref="C50:E50"/>
    <mergeCell ref="C38:D38"/>
    <mergeCell ref="C39:D39"/>
    <mergeCell ref="C40:D40"/>
    <mergeCell ref="C41:D41"/>
    <mergeCell ref="C42:D42"/>
    <mergeCell ref="C43:D43"/>
    <mergeCell ref="C44:D44"/>
    <mergeCell ref="C45:D45"/>
    <mergeCell ref="B46:E46"/>
    <mergeCell ref="C48:E48"/>
    <mergeCell ref="C49:E49"/>
    <mergeCell ref="C37:D37"/>
    <mergeCell ref="C24:E24"/>
    <mergeCell ref="C25:E25"/>
    <mergeCell ref="C26:E26"/>
    <mergeCell ref="C27:E27"/>
    <mergeCell ref="C28:E28"/>
    <mergeCell ref="B29:E29"/>
    <mergeCell ref="C32:D32"/>
    <mergeCell ref="C33:D33"/>
    <mergeCell ref="C34:D34"/>
    <mergeCell ref="B35:E35"/>
    <mergeCell ref="B36:F36"/>
    <mergeCell ref="C23:E23"/>
    <mergeCell ref="C11:E11"/>
    <mergeCell ref="C12:E12"/>
    <mergeCell ref="C14:D14"/>
    <mergeCell ref="E14:F14"/>
    <mergeCell ref="D15:F15"/>
    <mergeCell ref="D16:F16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C1EC-0D5A-4E1B-8C12-EADF0A00A206}">
  <sheetPr>
    <pageSetUpPr fitToPage="1"/>
  </sheetPr>
  <dimension ref="B1:F109"/>
  <sheetViews>
    <sheetView topLeftCell="A78" workbookViewId="0">
      <selection activeCell="F108" sqref="F108"/>
    </sheetView>
  </sheetViews>
  <sheetFormatPr defaultColWidth="9.140625" defaultRowHeight="16.5" x14ac:dyDescent="0.3"/>
  <cols>
    <col min="1" max="1" width="2.7109375" style="16" customWidth="1"/>
    <col min="2" max="2" width="8.7109375" style="16" customWidth="1"/>
    <col min="3" max="3" width="52.5703125" style="21" customWidth="1"/>
    <col min="4" max="4" width="7.85546875" style="21" customWidth="1"/>
    <col min="5" max="5" width="13.5703125" style="21" customWidth="1"/>
    <col min="6" max="6" width="15.42578125" style="21" bestFit="1" customWidth="1"/>
    <col min="7" max="16384" width="9.140625" style="16"/>
  </cols>
  <sheetData>
    <row r="1" spans="2:6" ht="20.25" x14ac:dyDescent="0.35">
      <c r="B1" s="222" t="str">
        <f>RAMO</f>
        <v>RAMO: ESCOLA SUPERIOR DO MINISTÉRIO PÚBLICO DA UNIÃO</v>
      </c>
      <c r="C1" s="223"/>
      <c r="D1" s="223"/>
      <c r="E1" s="223"/>
      <c r="F1" s="224"/>
    </row>
    <row r="2" spans="2:6" ht="20.25" x14ac:dyDescent="0.35">
      <c r="B2" s="225" t="str">
        <f>UG</f>
        <v>UNIDADE GESTORA (SIGLA): ESMPU</v>
      </c>
      <c r="C2" s="226"/>
      <c r="D2" s="227"/>
      <c r="E2" s="111" t="s">
        <v>2</v>
      </c>
      <c r="F2" s="112" t="str">
        <f>DATA_DO_ORCAMENTO_ESTIMATIVO</f>
        <v>XX/XX/20XX</v>
      </c>
    </row>
    <row r="3" spans="2:6" s="99" customFormat="1" ht="25.5" x14ac:dyDescent="0.5">
      <c r="B3" s="158" t="s">
        <v>196</v>
      </c>
      <c r="C3" s="158"/>
      <c r="D3" s="158"/>
      <c r="E3" s="158"/>
      <c r="F3" s="158"/>
    </row>
    <row r="4" spans="2:6" s="99" customFormat="1" ht="15.95" customHeight="1" x14ac:dyDescent="0.3">
      <c r="B4" s="144" t="s">
        <v>5</v>
      </c>
      <c r="C4" s="144"/>
      <c r="D4" s="144"/>
      <c r="E4" s="144"/>
      <c r="F4" s="144"/>
    </row>
    <row r="5" spans="2:6" s="99" customFormat="1" ht="15.95" customHeight="1" x14ac:dyDescent="0.3">
      <c r="B5" s="142" t="s">
        <v>174</v>
      </c>
      <c r="C5" s="142"/>
      <c r="D5" s="228" t="str">
        <f>NUMERO_PROCESSO</f>
        <v>0.01.000.1.002991/2024-69</v>
      </c>
      <c r="E5" s="228"/>
      <c r="F5" s="228"/>
    </row>
    <row r="6" spans="2:6" s="99" customFormat="1" ht="15.75" customHeight="1" x14ac:dyDescent="0.3">
      <c r="B6" s="168" t="s">
        <v>175</v>
      </c>
      <c r="C6" s="168"/>
      <c r="D6" s="218" t="str">
        <f>MODALIDADE_DE_LICITACAO</f>
        <v>Pregão nº</v>
      </c>
      <c r="E6" s="218"/>
      <c r="F6" s="116" t="str">
        <f>NUMERO_PREGAO</f>
        <v>XX/20XX</v>
      </c>
    </row>
    <row r="7" spans="2:6" s="99" customFormat="1" ht="15.75" customHeight="1" x14ac:dyDescent="0.3">
      <c r="B7" s="219" t="s">
        <v>176</v>
      </c>
      <c r="C7" s="219"/>
      <c r="D7" s="219"/>
      <c r="E7" s="219"/>
      <c r="F7" s="219"/>
    </row>
    <row r="8" spans="2:6" s="99" customFormat="1" ht="18" customHeight="1" x14ac:dyDescent="0.3">
      <c r="B8" s="27" t="s">
        <v>14</v>
      </c>
      <c r="C8" s="142" t="s">
        <v>15</v>
      </c>
      <c r="D8" s="142"/>
      <c r="E8" s="142"/>
      <c r="F8" s="117" t="str">
        <f>DATA_APRESENTACAO_PROPOSTA</f>
        <v>XX/XX/20XX</v>
      </c>
    </row>
    <row r="9" spans="2:6" s="99" customFormat="1" ht="15.95" customHeight="1" x14ac:dyDescent="0.15">
      <c r="B9" s="1" t="s">
        <v>16</v>
      </c>
      <c r="C9" s="69" t="s">
        <v>17</v>
      </c>
      <c r="D9" s="220" t="str">
        <f>IF(LOCAL_DE_EXECUCAO="","",LOCAL_DE_EXECUCAO)</f>
        <v>Sede da ESMPU</v>
      </c>
      <c r="E9" s="220"/>
      <c r="F9" s="220"/>
    </row>
    <row r="10" spans="2:6" s="99" customFormat="1" ht="18.75" customHeight="1" x14ac:dyDescent="0.3">
      <c r="B10" s="27" t="s">
        <v>19</v>
      </c>
      <c r="C10" s="142" t="s">
        <v>23</v>
      </c>
      <c r="D10" s="142"/>
      <c r="E10" s="142"/>
      <c r="F10" s="118" t="str">
        <f>ACORDO_COLETIVO</f>
        <v>01/2024</v>
      </c>
    </row>
    <row r="11" spans="2:6" s="99" customFormat="1" ht="15.95" customHeight="1" x14ac:dyDescent="0.3">
      <c r="B11" s="1" t="s">
        <v>22</v>
      </c>
      <c r="C11" s="220" t="s">
        <v>26</v>
      </c>
      <c r="D11" s="220"/>
      <c r="E11" s="220"/>
      <c r="F11" s="110">
        <f>NUMERO_MESES_EXEC_CONTRATUAL</f>
        <v>12</v>
      </c>
    </row>
    <row r="12" spans="2:6" s="99" customFormat="1" x14ac:dyDescent="0.3">
      <c r="B12" s="1" t="s">
        <v>25</v>
      </c>
      <c r="C12" s="221" t="s">
        <v>177</v>
      </c>
      <c r="D12" s="221"/>
      <c r="E12" s="221"/>
      <c r="F12" s="102">
        <f>IF(QTDE_DE_POSTOS_44H=0,"",QTDE_DE_POSTOS_44H)</f>
        <v>4</v>
      </c>
    </row>
    <row r="13" spans="2:6" s="99" customFormat="1" ht="7.5" customHeight="1" x14ac:dyDescent="0.3">
      <c r="B13" s="119"/>
      <c r="C13" s="120"/>
      <c r="D13" s="120"/>
      <c r="E13" s="120"/>
      <c r="F13" s="20"/>
    </row>
    <row r="14" spans="2:6" s="99" customFormat="1" ht="21" customHeight="1" x14ac:dyDescent="0.5">
      <c r="B14" s="105" t="s">
        <v>46</v>
      </c>
      <c r="C14" s="16"/>
      <c r="D14" s="16"/>
      <c r="E14" s="16"/>
      <c r="F14" s="16"/>
    </row>
    <row r="15" spans="2:6" s="99" customFormat="1" x14ac:dyDescent="0.3">
      <c r="B15" s="27">
        <v>1</v>
      </c>
      <c r="C15" s="235" t="s">
        <v>38</v>
      </c>
      <c r="D15" s="236"/>
      <c r="E15" s="232" t="str">
        <f>TIPO_DE_SERVICO</f>
        <v>Vigilância</v>
      </c>
      <c r="F15" s="234"/>
    </row>
    <row r="16" spans="2:6" s="99" customFormat="1" x14ac:dyDescent="0.3">
      <c r="B16" s="27">
        <v>2</v>
      </c>
      <c r="C16" s="29" t="s">
        <v>40</v>
      </c>
      <c r="D16" s="237" t="str">
        <f>CBO</f>
        <v>5173-30</v>
      </c>
      <c r="E16" s="238"/>
      <c r="F16" s="239"/>
    </row>
    <row r="17" spans="2:6" s="99" customFormat="1" ht="15" customHeight="1" x14ac:dyDescent="0.3">
      <c r="B17" s="27">
        <v>3</v>
      </c>
      <c r="C17" s="58" t="s">
        <v>42</v>
      </c>
      <c r="D17" s="232" t="str">
        <f>CATEGORIA_PROFISSIONAL</f>
        <v>Vigilante</v>
      </c>
      <c r="E17" s="233"/>
      <c r="F17" s="234"/>
    </row>
    <row r="18" spans="2:6" s="99" customFormat="1" ht="15" customHeight="1" x14ac:dyDescent="0.3">
      <c r="B18" s="27">
        <v>4</v>
      </c>
      <c r="C18" s="240" t="s">
        <v>44</v>
      </c>
      <c r="D18" s="241"/>
      <c r="E18" s="242"/>
      <c r="F18" s="129">
        <f>DATA_BASE_CATEGORIA</f>
        <v>45292</v>
      </c>
    </row>
    <row r="19" spans="2:6" s="99" customFormat="1" ht="15" customHeight="1" x14ac:dyDescent="0.3">
      <c r="B19" s="30"/>
      <c r="C19" s="31"/>
      <c r="D19" s="31"/>
      <c r="E19" s="31"/>
      <c r="F19" s="104"/>
    </row>
    <row r="20" spans="2:6" s="121" customFormat="1" ht="30" customHeight="1" x14ac:dyDescent="0.3">
      <c r="B20" s="216" t="s">
        <v>178</v>
      </c>
      <c r="C20" s="216"/>
      <c r="D20" s="216"/>
      <c r="E20" s="216"/>
      <c r="F20" s="216"/>
    </row>
    <row r="21" spans="2:6" x14ac:dyDescent="0.3">
      <c r="B21" s="188" t="s">
        <v>179</v>
      </c>
      <c r="C21" s="188"/>
      <c r="D21" s="188"/>
      <c r="E21" s="188"/>
      <c r="F21" s="115">
        <v>1</v>
      </c>
    </row>
    <row r="22" spans="2:6" x14ac:dyDescent="0.3">
      <c r="B22" s="53" t="s">
        <v>47</v>
      </c>
      <c r="E22" s="17"/>
      <c r="F22" s="17"/>
    </row>
    <row r="23" spans="2:6" x14ac:dyDescent="0.3">
      <c r="B23" s="51">
        <v>1</v>
      </c>
      <c r="C23" s="180" t="s">
        <v>48</v>
      </c>
      <c r="D23" s="180"/>
      <c r="E23" s="180"/>
      <c r="F23" s="52" t="s">
        <v>85</v>
      </c>
    </row>
    <row r="24" spans="2:6" x14ac:dyDescent="0.3">
      <c r="B24" s="51" t="s">
        <v>14</v>
      </c>
      <c r="C24" s="243" t="s">
        <v>180</v>
      </c>
      <c r="D24" s="243"/>
      <c r="E24" s="243"/>
      <c r="F24" s="59">
        <f>SALARIO_BASE</f>
        <v>2723.41</v>
      </c>
    </row>
    <row r="25" spans="2:6" x14ac:dyDescent="0.3">
      <c r="B25" s="51" t="s">
        <v>16</v>
      </c>
      <c r="C25" s="182" t="s">
        <v>181</v>
      </c>
      <c r="D25" s="182"/>
      <c r="E25" s="182"/>
      <c r="F25" s="13">
        <f>PERC_ADIC_PERIC%*SALARIO_BASE</f>
        <v>817.02</v>
      </c>
    </row>
    <row r="26" spans="2:6" x14ac:dyDescent="0.3">
      <c r="B26" s="1" t="s">
        <v>19</v>
      </c>
      <c r="C26" s="207" t="str">
        <f>OUTROS_REMUNERACAO_1_DESCRICAO</f>
        <v>Outras Remunerações 1 (Especificar)</v>
      </c>
      <c r="D26" s="208"/>
      <c r="E26" s="209"/>
      <c r="F26" s="59">
        <f>OUTROS_REMUNERACAO_1</f>
        <v>0</v>
      </c>
    </row>
    <row r="27" spans="2:6" x14ac:dyDescent="0.3">
      <c r="B27" s="1" t="s">
        <v>22</v>
      </c>
      <c r="C27" s="210" t="str">
        <f>OUTROS_REMUNERACAO_2_DESCRICAO</f>
        <v>Outras Remunerações 2 (Especificar)</v>
      </c>
      <c r="D27" s="211"/>
      <c r="E27" s="212"/>
      <c r="F27" s="13">
        <f>OUTROS_REMUNERACAO_2</f>
        <v>0</v>
      </c>
    </row>
    <row r="28" spans="2:6" x14ac:dyDescent="0.3">
      <c r="B28" s="1" t="s">
        <v>25</v>
      </c>
      <c r="C28" s="207" t="str">
        <f>OUTROS_REMUNERACAO_3_DESCRICAO</f>
        <v>Outras Remunerações 3 (Especificar)</v>
      </c>
      <c r="D28" s="208"/>
      <c r="E28" s="209"/>
      <c r="F28" s="59">
        <f>OUTROS_REMUNERACAO_3</f>
        <v>0</v>
      </c>
    </row>
    <row r="29" spans="2:6" x14ac:dyDescent="0.3">
      <c r="B29" s="205" t="s">
        <v>155</v>
      </c>
      <c r="C29" s="205"/>
      <c r="D29" s="205"/>
      <c r="E29" s="205"/>
      <c r="F29" s="45">
        <f>SUM(F24:F28)</f>
        <v>3540.43</v>
      </c>
    </row>
    <row r="30" spans="2:6" ht="10.5" customHeight="1" x14ac:dyDescent="0.3">
      <c r="B30" s="19"/>
      <c r="C30" s="16"/>
      <c r="D30" s="20"/>
      <c r="E30" s="17"/>
      <c r="F30" s="17"/>
    </row>
    <row r="31" spans="2:6" x14ac:dyDescent="0.3">
      <c r="B31" s="53" t="s">
        <v>135</v>
      </c>
      <c r="E31" s="23"/>
      <c r="F31" s="23"/>
    </row>
    <row r="32" spans="2:6" x14ac:dyDescent="0.3">
      <c r="B32" s="53" t="s">
        <v>197</v>
      </c>
      <c r="C32" s="15"/>
      <c r="D32" s="24"/>
      <c r="E32" s="22"/>
      <c r="F32" s="22"/>
    </row>
    <row r="33" spans="2:6" x14ac:dyDescent="0.3">
      <c r="B33" s="51" t="s">
        <v>137</v>
      </c>
      <c r="C33" s="244" t="s">
        <v>138</v>
      </c>
      <c r="D33" s="244"/>
      <c r="E33" s="52" t="s">
        <v>75</v>
      </c>
      <c r="F33" s="52" t="s">
        <v>85</v>
      </c>
    </row>
    <row r="34" spans="2:6" x14ac:dyDescent="0.3">
      <c r="B34" s="51" t="s">
        <v>14</v>
      </c>
      <c r="C34" s="181" t="s">
        <v>140</v>
      </c>
      <c r="D34" s="181"/>
      <c r="E34" s="67">
        <f>(1/12)*100</f>
        <v>8.33</v>
      </c>
      <c r="F34" s="60">
        <f>PERC_DEC_TERC%*F29</f>
        <v>294.92</v>
      </c>
    </row>
    <row r="35" spans="2:6" x14ac:dyDescent="0.3">
      <c r="B35" s="47" t="s">
        <v>16</v>
      </c>
      <c r="C35" s="139" t="s">
        <v>142</v>
      </c>
      <c r="D35" s="141"/>
      <c r="E35" s="56">
        <f>(1/3)/12*100</f>
        <v>2.78</v>
      </c>
      <c r="F35" s="38">
        <f>PERC_ADIC_FERIAS%*F29</f>
        <v>98.42</v>
      </c>
    </row>
    <row r="36" spans="2:6" s="106" customFormat="1" x14ac:dyDescent="0.3">
      <c r="B36" s="245" t="s">
        <v>155</v>
      </c>
      <c r="C36" s="246"/>
      <c r="D36" s="246"/>
      <c r="E36" s="247"/>
      <c r="F36" s="43">
        <f>SUM(F34:F35)</f>
        <v>393.34</v>
      </c>
    </row>
    <row r="37" spans="2:6" s="106" customFormat="1" ht="31.5" customHeight="1" x14ac:dyDescent="0.3">
      <c r="B37" s="248" t="s">
        <v>144</v>
      </c>
      <c r="C37" s="248"/>
      <c r="D37" s="248"/>
      <c r="E37" s="248"/>
      <c r="F37" s="248"/>
    </row>
    <row r="38" spans="2:6" s="106" customFormat="1" ht="33.75" customHeight="1" x14ac:dyDescent="0.3">
      <c r="B38" s="51" t="s">
        <v>145</v>
      </c>
      <c r="C38" s="249" t="s">
        <v>146</v>
      </c>
      <c r="D38" s="249"/>
      <c r="E38" s="52" t="s">
        <v>75</v>
      </c>
      <c r="F38" s="52" t="s">
        <v>85</v>
      </c>
    </row>
    <row r="39" spans="2:6" x14ac:dyDescent="0.3">
      <c r="B39" s="51" t="s">
        <v>14</v>
      </c>
      <c r="C39" s="181" t="s">
        <v>147</v>
      </c>
      <c r="D39" s="181"/>
      <c r="E39" s="67">
        <v>20</v>
      </c>
      <c r="F39" s="60">
        <f>PERC_INSS%*(F29+F36)</f>
        <v>786.75</v>
      </c>
    </row>
    <row r="40" spans="2:6" s="99" customFormat="1" x14ac:dyDescent="0.15">
      <c r="B40" s="47" t="s">
        <v>16</v>
      </c>
      <c r="C40" s="182" t="s">
        <v>148</v>
      </c>
      <c r="D40" s="182"/>
      <c r="E40" s="57">
        <v>2.5</v>
      </c>
      <c r="F40" s="38">
        <f>PERC_SAL_EDUCACAO%*(F29+F36)</f>
        <v>98.34</v>
      </c>
    </row>
    <row r="41" spans="2:6" s="99" customFormat="1" x14ac:dyDescent="0.15">
      <c r="B41" s="47" t="s">
        <v>19</v>
      </c>
      <c r="C41" s="181" t="s">
        <v>149</v>
      </c>
      <c r="D41" s="181"/>
      <c r="E41" s="67">
        <v>3</v>
      </c>
      <c r="F41" s="60">
        <f>PERC_RAT%*(F29+F36)</f>
        <v>118.01</v>
      </c>
    </row>
    <row r="42" spans="2:6" s="99" customFormat="1" x14ac:dyDescent="0.15">
      <c r="B42" s="47" t="s">
        <v>22</v>
      </c>
      <c r="C42" s="182" t="s">
        <v>150</v>
      </c>
      <c r="D42" s="182"/>
      <c r="E42" s="56">
        <v>1.5</v>
      </c>
      <c r="F42" s="38">
        <f>PERC_SESC%*(F29+F36)</f>
        <v>59.01</v>
      </c>
    </row>
    <row r="43" spans="2:6" s="99" customFormat="1" x14ac:dyDescent="0.15">
      <c r="B43" s="47" t="s">
        <v>25</v>
      </c>
      <c r="C43" s="181" t="s">
        <v>151</v>
      </c>
      <c r="D43" s="181"/>
      <c r="E43" s="67">
        <v>1</v>
      </c>
      <c r="F43" s="60">
        <f>PERC_SENAC%*(F29+F36)</f>
        <v>39.340000000000003</v>
      </c>
    </row>
    <row r="44" spans="2:6" s="99" customFormat="1" x14ac:dyDescent="0.15">
      <c r="B44" s="47" t="s">
        <v>55</v>
      </c>
      <c r="C44" s="182" t="s">
        <v>152</v>
      </c>
      <c r="D44" s="182"/>
      <c r="E44" s="57">
        <v>0.6</v>
      </c>
      <c r="F44" s="38">
        <f>PERC_SEBRAE%*(F29+F36)</f>
        <v>23.6</v>
      </c>
    </row>
    <row r="45" spans="2:6" s="99" customFormat="1" x14ac:dyDescent="0.15">
      <c r="B45" s="47" t="s">
        <v>57</v>
      </c>
      <c r="C45" s="181" t="s">
        <v>153</v>
      </c>
      <c r="D45" s="181"/>
      <c r="E45" s="67">
        <v>0.2</v>
      </c>
      <c r="F45" s="60">
        <f>PERC_INCRA%*(F29+F36)</f>
        <v>7.87</v>
      </c>
    </row>
    <row r="46" spans="2:6" x14ac:dyDescent="0.3">
      <c r="B46" s="47" t="s">
        <v>129</v>
      </c>
      <c r="C46" s="182" t="s">
        <v>154</v>
      </c>
      <c r="D46" s="182"/>
      <c r="E46" s="57">
        <v>8</v>
      </c>
      <c r="F46" s="38">
        <f>PERC_FGTS%*(F29+F36)</f>
        <v>314.7</v>
      </c>
    </row>
    <row r="47" spans="2:6" x14ac:dyDescent="0.3">
      <c r="B47" s="245" t="s">
        <v>155</v>
      </c>
      <c r="C47" s="246"/>
      <c r="D47" s="246"/>
      <c r="E47" s="247"/>
      <c r="F47" s="44">
        <f>SUM(F39:F46)</f>
        <v>1447.62</v>
      </c>
    </row>
    <row r="48" spans="2:6" ht="15.75" customHeight="1" x14ac:dyDescent="0.3">
      <c r="B48" s="53" t="s">
        <v>59</v>
      </c>
      <c r="C48" s="99"/>
      <c r="D48" s="99"/>
      <c r="E48" s="99"/>
      <c r="F48" s="99"/>
    </row>
    <row r="49" spans="2:6" ht="15.75" customHeight="1" x14ac:dyDescent="0.3">
      <c r="B49" s="51" t="s">
        <v>60</v>
      </c>
      <c r="C49" s="180" t="s">
        <v>61</v>
      </c>
      <c r="D49" s="180"/>
      <c r="E49" s="180"/>
      <c r="F49" s="52" t="s">
        <v>85</v>
      </c>
    </row>
    <row r="50" spans="2:6" x14ac:dyDescent="0.3">
      <c r="B50" s="46" t="s">
        <v>14</v>
      </c>
      <c r="C50" s="207" t="s">
        <v>64</v>
      </c>
      <c r="D50" s="208"/>
      <c r="E50" s="209"/>
      <c r="F50" s="60">
        <f>IF(((TRANSPORTE_POR_DIA*DIAS_UTEIS_TRABALHADOS_NO_MES_44HORAS)-(PERC_DESC_TRANSP_REMUNERACAO%*(SALARIO_BASE)))&gt;0,((TRANSPORTE_POR_DIA*DIAS_UTEIS_TRABALHADOS_NO_MES_44HORAS)-(PERC_DESC_TRANSP_REMUNERACAO%*(SALARIO_BASE))),0)</f>
        <v>78.599999999999994</v>
      </c>
    </row>
    <row r="51" spans="2:6" s="106" customFormat="1" x14ac:dyDescent="0.3">
      <c r="B51" s="46" t="s">
        <v>16</v>
      </c>
      <c r="C51" s="139" t="s">
        <v>66</v>
      </c>
      <c r="D51" s="140"/>
      <c r="E51" s="141"/>
      <c r="F51" s="38">
        <f>ALIMENTACAO_POR_DIA*DIAS_UTEIS_TRABALHADOS_NO_MES_44HORAS</f>
        <v>1042.1400000000001</v>
      </c>
    </row>
    <row r="52" spans="2:6" s="106" customFormat="1" x14ac:dyDescent="0.3">
      <c r="B52" s="27" t="s">
        <v>19</v>
      </c>
      <c r="C52" s="207" t="str">
        <f>OUTROS_BENEFICIOS_1_DESCRICAO</f>
        <v>Seguro de vida em grupo</v>
      </c>
      <c r="D52" s="208"/>
      <c r="E52" s="209"/>
      <c r="F52" s="60">
        <f>OUTROS_BENEFICIOS_1</f>
        <v>25.26</v>
      </c>
    </row>
    <row r="53" spans="2:6" s="106" customFormat="1" x14ac:dyDescent="0.3">
      <c r="B53" s="27" t="s">
        <v>22</v>
      </c>
      <c r="C53" s="210" t="str">
        <f>OUTROS_BENEFICIOS_2_DESCRICAO</f>
        <v>Outros Benefícios 2 (Especificar)</v>
      </c>
      <c r="D53" s="211"/>
      <c r="E53" s="212"/>
      <c r="F53" s="38">
        <f>OUTROS_BENEFICIOS_2</f>
        <v>0</v>
      </c>
    </row>
    <row r="54" spans="2:6" s="106" customFormat="1" x14ac:dyDescent="0.3">
      <c r="B54" s="27" t="s">
        <v>25</v>
      </c>
      <c r="C54" s="207" t="str">
        <f>OUTROS_BENEFICIOS_3_DESCRICAO</f>
        <v>Outros Benefícios 3 (Especificar)</v>
      </c>
      <c r="D54" s="208"/>
      <c r="E54" s="209"/>
      <c r="F54" s="60">
        <f>OUTROS_BENEFICIOS_3</f>
        <v>0</v>
      </c>
    </row>
    <row r="55" spans="2:6" s="106" customFormat="1" ht="15" customHeight="1" x14ac:dyDescent="0.3">
      <c r="B55" s="205" t="s">
        <v>155</v>
      </c>
      <c r="C55" s="205"/>
      <c r="D55" s="205"/>
      <c r="E55" s="205"/>
      <c r="F55" s="45">
        <f>SUM(F50:F54)</f>
        <v>1146</v>
      </c>
    </row>
    <row r="56" spans="2:6" ht="10.5" customHeight="1" x14ac:dyDescent="0.3">
      <c r="B56" s="19"/>
      <c r="C56" s="16"/>
      <c r="D56" s="20"/>
      <c r="E56" s="17"/>
      <c r="F56" s="17"/>
    </row>
    <row r="57" spans="2:6" s="106" customFormat="1" x14ac:dyDescent="0.3">
      <c r="B57" s="53" t="s">
        <v>115</v>
      </c>
      <c r="C57" s="15"/>
      <c r="D57" s="24"/>
      <c r="E57" s="22"/>
      <c r="F57" s="22"/>
    </row>
    <row r="58" spans="2:6" s="106" customFormat="1" ht="15" customHeight="1" x14ac:dyDescent="0.3">
      <c r="B58" s="1">
        <v>3</v>
      </c>
      <c r="C58" s="188" t="s">
        <v>116</v>
      </c>
      <c r="D58" s="188"/>
      <c r="E58" s="4" t="s">
        <v>75</v>
      </c>
      <c r="F58" s="4" t="s">
        <v>85</v>
      </c>
    </row>
    <row r="59" spans="2:6" s="106" customFormat="1" x14ac:dyDescent="0.3">
      <c r="B59" s="1" t="s">
        <v>14</v>
      </c>
      <c r="C59" s="198" t="s">
        <v>156</v>
      </c>
      <c r="D59" s="198"/>
      <c r="E59" s="61">
        <f>PERC_AVISO_PREVIO_IND</f>
        <v>0.28999999999999998</v>
      </c>
      <c r="F59" s="60">
        <f>PERC_AVISO_PREVIO_IND%*(F29+F36+F46+F55)</f>
        <v>15.64</v>
      </c>
    </row>
    <row r="60" spans="2:6" s="106" customFormat="1" x14ac:dyDescent="0.3">
      <c r="B60" s="2" t="s">
        <v>16</v>
      </c>
      <c r="C60" s="200" t="s">
        <v>158</v>
      </c>
      <c r="D60" s="200"/>
      <c r="E60" s="48">
        <f>PERC_AVISO_PREVIO_TRAB</f>
        <v>1.1599999999999999</v>
      </c>
      <c r="F60" s="38">
        <f>PERC_AVISO_PREVIO_TRAB%*(F29+F36+F47+F55)</f>
        <v>75.72</v>
      </c>
    </row>
    <row r="61" spans="2:6" s="99" customFormat="1" x14ac:dyDescent="0.15">
      <c r="B61" s="2" t="s">
        <v>19</v>
      </c>
      <c r="C61" s="198" t="s">
        <v>160</v>
      </c>
      <c r="D61" s="198"/>
      <c r="E61" s="61">
        <f>PERC_MULTA_FGTS_AV_PREV_TRAB</f>
        <v>0.04</v>
      </c>
      <c r="F61" s="60">
        <f>PERC_MULTA_FGTS_AV_PREV_TRAB%*(F29+F36)</f>
        <v>1.57</v>
      </c>
    </row>
    <row r="62" spans="2:6" s="99" customFormat="1" x14ac:dyDescent="0.3">
      <c r="B62" s="177" t="s">
        <v>155</v>
      </c>
      <c r="C62" s="178"/>
      <c r="D62" s="178"/>
      <c r="E62" s="179"/>
      <c r="F62" s="43">
        <f>SUM(F59:F61)</f>
        <v>92.93</v>
      </c>
    </row>
    <row r="63" spans="2:6" ht="10.5" customHeight="1" x14ac:dyDescent="0.3">
      <c r="B63" s="19"/>
      <c r="C63" s="16"/>
      <c r="D63" s="20"/>
      <c r="E63" s="17"/>
      <c r="F63" s="17"/>
    </row>
    <row r="64" spans="2:6" s="99" customFormat="1" ht="15.95" customHeight="1" x14ac:dyDescent="0.3">
      <c r="B64" s="53" t="s">
        <v>71</v>
      </c>
      <c r="C64" s="15"/>
      <c r="D64" s="24"/>
      <c r="E64" s="16"/>
      <c r="F64" s="16"/>
    </row>
    <row r="65" spans="2:6" s="99" customFormat="1" ht="15.95" customHeight="1" x14ac:dyDescent="0.3">
      <c r="B65" s="53" t="s">
        <v>72</v>
      </c>
      <c r="C65" s="15"/>
      <c r="D65" s="24"/>
      <c r="E65" s="22"/>
      <c r="F65" s="22"/>
    </row>
    <row r="66" spans="2:6" s="99" customFormat="1" x14ac:dyDescent="0.15">
      <c r="B66" s="1" t="s">
        <v>73</v>
      </c>
      <c r="C66" s="199" t="s">
        <v>74</v>
      </c>
      <c r="D66" s="199"/>
      <c r="E66" s="4" t="s">
        <v>75</v>
      </c>
      <c r="F66" s="4" t="s">
        <v>85</v>
      </c>
    </row>
    <row r="67" spans="2:6" s="99" customFormat="1" ht="15.95" customHeight="1" x14ac:dyDescent="0.15">
      <c r="B67" s="2" t="s">
        <v>14</v>
      </c>
      <c r="C67" s="195" t="s">
        <v>162</v>
      </c>
      <c r="D67" s="195"/>
      <c r="E67" s="61">
        <f>PERC_SUBSTITUTO_FERIAS</f>
        <v>8.33</v>
      </c>
      <c r="F67" s="60">
        <f>PERC_SUBSTITUTO_FERIAS%*(F29+F36+F47+F55+F62)</f>
        <v>551.47</v>
      </c>
    </row>
    <row r="68" spans="2:6" s="99" customFormat="1" ht="15.95" customHeight="1" x14ac:dyDescent="0.15">
      <c r="B68" s="2" t="s">
        <v>16</v>
      </c>
      <c r="C68" s="196" t="s">
        <v>164</v>
      </c>
      <c r="D68" s="196"/>
      <c r="E68" s="48">
        <f>PERC_SUBSTITUTO_AUSENCIAS_LEGAIS</f>
        <v>2.2200000000000002</v>
      </c>
      <c r="F68" s="38">
        <f>PERC_SUBSTITUTO_AUSENCIAS_LEGAIS%*(F29+F36+F47+F55+F62)</f>
        <v>146.97</v>
      </c>
    </row>
    <row r="69" spans="2:6" s="99" customFormat="1" ht="15.95" customHeight="1" x14ac:dyDescent="0.15">
      <c r="B69" s="2" t="s">
        <v>19</v>
      </c>
      <c r="C69" s="195" t="s">
        <v>166</v>
      </c>
      <c r="D69" s="195"/>
      <c r="E69" s="61">
        <f>PERC_SUBSTITUTO_LICENCA_PATERNIDADE</f>
        <v>7.0000000000000007E-2</v>
      </c>
      <c r="F69" s="60">
        <f>PERC_SUBSTITUTO_LICENCA_PATERNIDADE%*(F29+F36+F47+F55+F62)</f>
        <v>4.63</v>
      </c>
    </row>
    <row r="70" spans="2:6" s="99" customFormat="1" x14ac:dyDescent="0.15">
      <c r="B70" s="2" t="s">
        <v>22</v>
      </c>
      <c r="C70" s="196" t="s">
        <v>168</v>
      </c>
      <c r="D70" s="196"/>
      <c r="E70" s="48">
        <f>PERC_SUBSTITUTO_ACID_TRAB</f>
        <v>0.02</v>
      </c>
      <c r="F70" s="38">
        <f>PERC_SUBSTITUTO_ACID_TRAB%*(F29+F36+F47+F55+F62)</f>
        <v>1.32</v>
      </c>
    </row>
    <row r="71" spans="2:6" s="99" customFormat="1" x14ac:dyDescent="0.15">
      <c r="B71" s="2" t="s">
        <v>25</v>
      </c>
      <c r="C71" s="195" t="s">
        <v>170</v>
      </c>
      <c r="D71" s="195"/>
      <c r="E71" s="61">
        <f>PERC_SUBSTITUTO_AFAST_MATERN</f>
        <v>0.04</v>
      </c>
      <c r="F71" s="60">
        <f>PERC_SUBSTITUTO_AFAST_MATERN%*(F29+F36+F47+F55+F62)</f>
        <v>2.65</v>
      </c>
    </row>
    <row r="72" spans="2:6" s="99" customFormat="1" x14ac:dyDescent="0.15">
      <c r="B72" s="2" t="s">
        <v>55</v>
      </c>
      <c r="C72" s="206" t="str">
        <f>OUTRAS_AUSENCIAS_DESCRICAO</f>
        <v>Outras Ausências (Especificar - em %)</v>
      </c>
      <c r="D72" s="196"/>
      <c r="E72" s="55">
        <f>PERC_SUBSTITUTO_OUTRAS_AUSENCIAS</f>
        <v>0</v>
      </c>
      <c r="F72" s="38">
        <f>PERC_SUBSTITUTO_OUTRAS_AUSENCIAS%*(F29+F36+F47+F55+F62)</f>
        <v>0</v>
      </c>
    </row>
    <row r="73" spans="2:6" s="99" customFormat="1" x14ac:dyDescent="0.3">
      <c r="B73" s="177" t="s">
        <v>155</v>
      </c>
      <c r="C73" s="178"/>
      <c r="D73" s="178"/>
      <c r="E73" s="179"/>
      <c r="F73" s="43">
        <f>SUM(F67:F72)</f>
        <v>707.04</v>
      </c>
    </row>
    <row r="74" spans="2:6" ht="18" customHeight="1" x14ac:dyDescent="0.3">
      <c r="B74" s="19"/>
      <c r="C74" s="16"/>
      <c r="D74" s="20"/>
      <c r="E74" s="17"/>
      <c r="F74" s="17"/>
    </row>
    <row r="75" spans="2:6" x14ac:dyDescent="0.3">
      <c r="B75" s="53" t="s">
        <v>77</v>
      </c>
      <c r="C75" s="15"/>
      <c r="D75" s="24"/>
      <c r="E75" s="22"/>
      <c r="F75" s="22"/>
    </row>
    <row r="76" spans="2:6" x14ac:dyDescent="0.3">
      <c r="B76" s="1" t="s">
        <v>78</v>
      </c>
      <c r="C76" s="131" t="s">
        <v>79</v>
      </c>
      <c r="D76" s="131"/>
      <c r="E76" s="131"/>
      <c r="F76" s="4" t="s">
        <v>85</v>
      </c>
    </row>
    <row r="77" spans="2:6" ht="33" x14ac:dyDescent="0.3">
      <c r="B77" s="1" t="s">
        <v>14</v>
      </c>
      <c r="C77" s="132" t="s">
        <v>182</v>
      </c>
      <c r="D77" s="132"/>
      <c r="E77" s="132"/>
      <c r="F77" s="59"/>
    </row>
    <row r="78" spans="2:6" x14ac:dyDescent="0.3">
      <c r="B78" s="188" t="s">
        <v>155</v>
      </c>
      <c r="C78" s="188"/>
      <c r="D78" s="188"/>
      <c r="E78" s="188"/>
      <c r="F78" s="43">
        <f>SUM(F77)</f>
        <v>0</v>
      </c>
    </row>
    <row r="79" spans="2:6" x14ac:dyDescent="0.3">
      <c r="C79" s="16"/>
      <c r="D79" s="16"/>
      <c r="E79" s="16"/>
      <c r="F79" s="16"/>
    </row>
    <row r="80" spans="2:6" x14ac:dyDescent="0.3">
      <c r="B80" s="53" t="s">
        <v>83</v>
      </c>
      <c r="C80" s="15"/>
      <c r="D80" s="15"/>
      <c r="E80" s="22"/>
      <c r="F80" s="22"/>
    </row>
    <row r="81" spans="2:6" ht="15.75" customHeight="1" x14ac:dyDescent="0.3">
      <c r="B81" s="51">
        <v>5</v>
      </c>
      <c r="C81" s="180" t="s">
        <v>84</v>
      </c>
      <c r="D81" s="180"/>
      <c r="E81" s="180"/>
      <c r="F81" s="52" t="s">
        <v>85</v>
      </c>
    </row>
    <row r="82" spans="2:6" x14ac:dyDescent="0.3">
      <c r="B82" s="46" t="s">
        <v>14</v>
      </c>
      <c r="C82" s="181" t="s">
        <v>86</v>
      </c>
      <c r="D82" s="181"/>
      <c r="E82" s="181"/>
      <c r="F82" s="62">
        <f>UNIFORMES</f>
        <v>76.69</v>
      </c>
    </row>
    <row r="83" spans="2:6" x14ac:dyDescent="0.3">
      <c r="B83" s="46" t="s">
        <v>16</v>
      </c>
      <c r="C83" s="182" t="s">
        <v>87</v>
      </c>
      <c r="D83" s="182"/>
      <c r="E83" s="182"/>
      <c r="F83" s="49">
        <f>MATERIAIS</f>
        <v>132.86000000000001</v>
      </c>
    </row>
    <row r="84" spans="2:6" x14ac:dyDescent="0.3">
      <c r="B84" s="46" t="s">
        <v>19</v>
      </c>
      <c r="C84" s="181" t="s">
        <v>88</v>
      </c>
      <c r="D84" s="181"/>
      <c r="E84" s="181"/>
      <c r="F84" s="62">
        <f>EQUIPAMENTOS</f>
        <v>0</v>
      </c>
    </row>
    <row r="85" spans="2:6" x14ac:dyDescent="0.3">
      <c r="B85" s="46" t="s">
        <v>22</v>
      </c>
      <c r="C85" s="204" t="str">
        <f>OUTROS_INSUMOS_DESCRICAO</f>
        <v>Outros (Especificar)</v>
      </c>
      <c r="D85" s="182"/>
      <c r="E85" s="182"/>
      <c r="F85" s="49">
        <f>OUTROS_INSUMOS</f>
        <v>0</v>
      </c>
    </row>
    <row r="86" spans="2:6" x14ac:dyDescent="0.3">
      <c r="B86" s="205" t="s">
        <v>155</v>
      </c>
      <c r="C86" s="205"/>
      <c r="D86" s="205"/>
      <c r="E86" s="205"/>
      <c r="F86" s="45">
        <f>SUM(F82:F85)</f>
        <v>209.55</v>
      </c>
    </row>
    <row r="87" spans="2:6" ht="10.5" customHeight="1" x14ac:dyDescent="0.3">
      <c r="B87" s="19"/>
      <c r="C87" s="16"/>
      <c r="D87" s="20"/>
      <c r="E87" s="17"/>
      <c r="F87" s="17"/>
    </row>
    <row r="88" spans="2:6" ht="15" customHeight="1" x14ac:dyDescent="0.3">
      <c r="B88" s="173" t="s">
        <v>90</v>
      </c>
      <c r="C88" s="173"/>
      <c r="D88" s="173"/>
      <c r="E88" s="173"/>
      <c r="F88" s="173"/>
    </row>
    <row r="89" spans="2:6" x14ac:dyDescent="0.3">
      <c r="B89" s="1">
        <v>6</v>
      </c>
      <c r="C89" s="188" t="s">
        <v>91</v>
      </c>
      <c r="D89" s="188"/>
      <c r="E89" s="4" t="s">
        <v>75</v>
      </c>
      <c r="F89" s="4" t="s">
        <v>85</v>
      </c>
    </row>
    <row r="90" spans="2:6" x14ac:dyDescent="0.3">
      <c r="B90" s="1" t="s">
        <v>14</v>
      </c>
      <c r="C90" s="195" t="s">
        <v>92</v>
      </c>
      <c r="D90" s="195"/>
      <c r="E90" s="63">
        <f>PERC_CUSTOS_INDIRETOS</f>
        <v>4.8499999999999996</v>
      </c>
      <c r="F90" s="60">
        <f>PERC_CUSTOS_INDIRETOS%*(F29+F36+F47+F55+F62+F73+F78+F86)</f>
        <v>365.54</v>
      </c>
    </row>
    <row r="91" spans="2:6" ht="15.75" customHeight="1" x14ac:dyDescent="0.3">
      <c r="B91" s="2" t="s">
        <v>16</v>
      </c>
      <c r="C91" s="196" t="s">
        <v>93</v>
      </c>
      <c r="D91" s="196"/>
      <c r="E91" s="50">
        <f>PERC_LUCRO</f>
        <v>5.45</v>
      </c>
      <c r="F91" s="38">
        <f>PERC_LUCRO%*(F29+F36+F47+F55+F62+F73+F78+F86+F90)</f>
        <v>430.68</v>
      </c>
    </row>
    <row r="92" spans="2:6" x14ac:dyDescent="0.3">
      <c r="B92" s="2" t="s">
        <v>19</v>
      </c>
      <c r="C92" s="195" t="s">
        <v>183</v>
      </c>
      <c r="D92" s="195"/>
      <c r="E92" s="63">
        <f>SUM(E93:E95)</f>
        <v>8.65</v>
      </c>
      <c r="F92" s="60">
        <f>SUM(F93:F95)</f>
        <v>789.07</v>
      </c>
    </row>
    <row r="93" spans="2:6" ht="15.75" customHeight="1" x14ac:dyDescent="0.3">
      <c r="B93" s="32" t="s">
        <v>94</v>
      </c>
      <c r="C93" s="203" t="s">
        <v>95</v>
      </c>
      <c r="D93" s="203"/>
      <c r="E93" s="33">
        <f>PERC_PIS</f>
        <v>0.65</v>
      </c>
      <c r="F93" s="65">
        <f>((F29+F36+F47+F55+F62+F73+F78+F86+F90+F91)*E93%)/(1-E92%)</f>
        <v>59.29</v>
      </c>
    </row>
    <row r="94" spans="2:6" x14ac:dyDescent="0.3">
      <c r="B94" s="32" t="s">
        <v>96</v>
      </c>
      <c r="C94" s="202" t="s">
        <v>97</v>
      </c>
      <c r="D94" s="202"/>
      <c r="E94" s="64">
        <f>PERC_COFINS</f>
        <v>3</v>
      </c>
      <c r="F94" s="66">
        <f>((F29+F36+F47+F55+F62+F73+F78+F86+F90+F91)*E94%)/(1-E92%)</f>
        <v>273.67</v>
      </c>
    </row>
    <row r="95" spans="2:6" s="107" customFormat="1" x14ac:dyDescent="0.3">
      <c r="B95" s="32" t="s">
        <v>98</v>
      </c>
      <c r="C95" s="203" t="s">
        <v>99</v>
      </c>
      <c r="D95" s="203"/>
      <c r="E95" s="33">
        <f>PERC_ISS</f>
        <v>5</v>
      </c>
      <c r="F95" s="65">
        <f>((F29+F36+F47+F55+F62+F73+F78+F86+F90+F91)*E95%)/(1-E92%)</f>
        <v>456.11</v>
      </c>
    </row>
    <row r="96" spans="2:6" s="107" customFormat="1" x14ac:dyDescent="0.3">
      <c r="B96" s="177" t="s">
        <v>155</v>
      </c>
      <c r="C96" s="178"/>
      <c r="D96" s="178"/>
      <c r="E96" s="179"/>
      <c r="F96" s="39">
        <f>SUM(F90:F92)</f>
        <v>1585.29</v>
      </c>
    </row>
    <row r="97" spans="2:6" ht="19.5" customHeight="1" x14ac:dyDescent="0.3">
      <c r="B97" s="19"/>
      <c r="C97" s="16"/>
      <c r="D97" s="20"/>
      <c r="E97" s="17"/>
      <c r="F97" s="17"/>
    </row>
    <row r="98" spans="2:6" s="107" customFormat="1" ht="30.75" customHeight="1" x14ac:dyDescent="0.3">
      <c r="B98" s="54" t="s">
        <v>184</v>
      </c>
      <c r="C98" s="18"/>
      <c r="D98" s="18"/>
      <c r="E98" s="18"/>
      <c r="F98" s="25"/>
    </row>
    <row r="99" spans="2:6" s="108" customFormat="1" ht="16.5" customHeight="1" x14ac:dyDescent="0.3">
      <c r="B99" s="2" t="s">
        <v>185</v>
      </c>
      <c r="C99" s="185" t="s">
        <v>186</v>
      </c>
      <c r="D99" s="186"/>
      <c r="E99" s="187"/>
      <c r="F99" s="4" t="s">
        <v>187</v>
      </c>
    </row>
    <row r="100" spans="2:6" s="107" customFormat="1" x14ac:dyDescent="0.3">
      <c r="B100" s="1">
        <v>1</v>
      </c>
      <c r="C100" s="195" t="s">
        <v>48</v>
      </c>
      <c r="D100" s="195"/>
      <c r="E100" s="195"/>
      <c r="F100" s="60">
        <f>F29</f>
        <v>3540.43</v>
      </c>
    </row>
    <row r="101" spans="2:6" s="109" customFormat="1" ht="16.5" customHeight="1" x14ac:dyDescent="0.3">
      <c r="B101" s="2">
        <v>2</v>
      </c>
      <c r="C101" s="196" t="s">
        <v>188</v>
      </c>
      <c r="D101" s="196"/>
      <c r="E101" s="196"/>
      <c r="F101" s="38">
        <f>F36+F47+F55</f>
        <v>2986.96</v>
      </c>
    </row>
    <row r="102" spans="2:6" s="109" customFormat="1" x14ac:dyDescent="0.3">
      <c r="B102" s="2">
        <v>3</v>
      </c>
      <c r="C102" s="195" t="s">
        <v>116</v>
      </c>
      <c r="D102" s="195"/>
      <c r="E102" s="195"/>
      <c r="F102" s="60">
        <f>F62</f>
        <v>92.93</v>
      </c>
    </row>
    <row r="103" spans="2:6" s="109" customFormat="1" x14ac:dyDescent="0.3">
      <c r="B103" s="2">
        <v>4</v>
      </c>
      <c r="C103" s="196" t="s">
        <v>189</v>
      </c>
      <c r="D103" s="196"/>
      <c r="E103" s="196"/>
      <c r="F103" s="38">
        <f>F73+F78</f>
        <v>707.04</v>
      </c>
    </row>
    <row r="104" spans="2:6" s="109" customFormat="1" x14ac:dyDescent="0.3">
      <c r="B104" s="2">
        <v>5</v>
      </c>
      <c r="C104" s="195" t="s">
        <v>84</v>
      </c>
      <c r="D104" s="195"/>
      <c r="E104" s="195"/>
      <c r="F104" s="60">
        <f>F86</f>
        <v>209.55</v>
      </c>
    </row>
    <row r="105" spans="2:6" s="109" customFormat="1" x14ac:dyDescent="0.3">
      <c r="B105" s="2">
        <v>6</v>
      </c>
      <c r="C105" s="196" t="s">
        <v>91</v>
      </c>
      <c r="D105" s="196"/>
      <c r="E105" s="196"/>
      <c r="F105" s="38">
        <f>F96</f>
        <v>1585.29</v>
      </c>
    </row>
    <row r="106" spans="2:6" ht="16.5" customHeight="1" x14ac:dyDescent="0.3">
      <c r="B106" s="199" t="s">
        <v>190</v>
      </c>
      <c r="C106" s="199"/>
      <c r="D106" s="199"/>
      <c r="E106" s="199"/>
      <c r="F106" s="39">
        <f>SUM(F100:F105)</f>
        <v>9122.2000000000007</v>
      </c>
    </row>
    <row r="107" spans="2:6" ht="16.5" customHeight="1" x14ac:dyDescent="0.3">
      <c r="B107" s="199" t="s">
        <v>191</v>
      </c>
      <c r="C107" s="199"/>
      <c r="D107" s="199"/>
      <c r="E107" s="199"/>
      <c r="F107" s="39">
        <f>F106*F21</f>
        <v>9122.2000000000007</v>
      </c>
    </row>
    <row r="108" spans="2:6" x14ac:dyDescent="0.3">
      <c r="B108" s="24"/>
      <c r="C108" s="18"/>
      <c r="D108" s="18"/>
      <c r="E108" s="18"/>
      <c r="F108" s="25"/>
    </row>
    <row r="109" spans="2:6" x14ac:dyDescent="0.3">
      <c r="B109" s="16" t="s">
        <v>192</v>
      </c>
    </row>
  </sheetData>
  <mergeCells count="88">
    <mergeCell ref="C104:E104"/>
    <mergeCell ref="C105:E105"/>
    <mergeCell ref="B106:E106"/>
    <mergeCell ref="B107:E107"/>
    <mergeCell ref="B96:E96"/>
    <mergeCell ref="C99:E99"/>
    <mergeCell ref="C100:E100"/>
    <mergeCell ref="C101:E101"/>
    <mergeCell ref="C102:E102"/>
    <mergeCell ref="C103:E103"/>
    <mergeCell ref="C95:D95"/>
    <mergeCell ref="C83:E83"/>
    <mergeCell ref="C84:E84"/>
    <mergeCell ref="C85:E85"/>
    <mergeCell ref="B86:E86"/>
    <mergeCell ref="B88:F88"/>
    <mergeCell ref="C89:D89"/>
    <mergeCell ref="C90:D90"/>
    <mergeCell ref="C91:D91"/>
    <mergeCell ref="C92:D92"/>
    <mergeCell ref="C93:D93"/>
    <mergeCell ref="C94:D94"/>
    <mergeCell ref="C82:E82"/>
    <mergeCell ref="B62:E62"/>
    <mergeCell ref="C66:D66"/>
    <mergeCell ref="C67:D67"/>
    <mergeCell ref="C68:D68"/>
    <mergeCell ref="C69:D69"/>
    <mergeCell ref="C70:D70"/>
    <mergeCell ref="C71:D71"/>
    <mergeCell ref="C72:D72"/>
    <mergeCell ref="B73:E73"/>
    <mergeCell ref="B78:E78"/>
    <mergeCell ref="C81:E81"/>
    <mergeCell ref="C61:D61"/>
    <mergeCell ref="B47:E47"/>
    <mergeCell ref="C49:E49"/>
    <mergeCell ref="C50:E50"/>
    <mergeCell ref="C51:E51"/>
    <mergeCell ref="C52:E52"/>
    <mergeCell ref="C53:E53"/>
    <mergeCell ref="C54:E54"/>
    <mergeCell ref="B55:E55"/>
    <mergeCell ref="C58:D58"/>
    <mergeCell ref="C59:D59"/>
    <mergeCell ref="C60:D60"/>
    <mergeCell ref="C46:D46"/>
    <mergeCell ref="C35:D35"/>
    <mergeCell ref="B36:E36"/>
    <mergeCell ref="B37:F37"/>
    <mergeCell ref="C38:D38"/>
    <mergeCell ref="C39:D39"/>
    <mergeCell ref="C40:D40"/>
    <mergeCell ref="C41:D41"/>
    <mergeCell ref="C42:D42"/>
    <mergeCell ref="C43:D43"/>
    <mergeCell ref="C44:D44"/>
    <mergeCell ref="C45:D45"/>
    <mergeCell ref="C34:D34"/>
    <mergeCell ref="C18:E18"/>
    <mergeCell ref="B20:F20"/>
    <mergeCell ref="B21:E21"/>
    <mergeCell ref="C23:E23"/>
    <mergeCell ref="C24:E24"/>
    <mergeCell ref="C25:E25"/>
    <mergeCell ref="C26:E26"/>
    <mergeCell ref="C27:E27"/>
    <mergeCell ref="C28:E28"/>
    <mergeCell ref="B29:E29"/>
    <mergeCell ref="C33:D33"/>
    <mergeCell ref="D17:F17"/>
    <mergeCell ref="B6:C6"/>
    <mergeCell ref="D6:E6"/>
    <mergeCell ref="B7:F7"/>
    <mergeCell ref="C8:E8"/>
    <mergeCell ref="D9:F9"/>
    <mergeCell ref="C10:E10"/>
    <mergeCell ref="C11:E11"/>
    <mergeCell ref="C12:E12"/>
    <mergeCell ref="C15:D15"/>
    <mergeCell ref="E15:F15"/>
    <mergeCell ref="D16:F16"/>
    <mergeCell ref="B1:F1"/>
    <mergeCell ref="B2:D2"/>
    <mergeCell ref="B3:F3"/>
    <mergeCell ref="B4:F4"/>
    <mergeCell ref="B5:C5"/>
    <mergeCell ref="D5:F5"/>
  </mergeCells>
  <pageMargins left="0.511811024" right="0.511811024" top="0.78740157499999996" bottom="0.78740157499999996" header="0.31496062000000002" footer="0.31496062000000002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3516-F89A-4350-8D47-F70E1B34007F}">
  <sheetPr>
    <pageSetUpPr fitToPage="1"/>
  </sheetPr>
  <dimension ref="B1:F109"/>
  <sheetViews>
    <sheetView topLeftCell="A85" workbookViewId="0">
      <selection activeCell="H107" sqref="H107"/>
    </sheetView>
  </sheetViews>
  <sheetFormatPr defaultColWidth="9.140625" defaultRowHeight="16.5" x14ac:dyDescent="0.3"/>
  <cols>
    <col min="1" max="1" width="2.7109375" style="16" customWidth="1"/>
    <col min="2" max="2" width="8.7109375" style="16" customWidth="1"/>
    <col min="3" max="3" width="52.5703125" style="21" customWidth="1"/>
    <col min="4" max="4" width="7.85546875" style="21" customWidth="1"/>
    <col min="5" max="5" width="13.5703125" style="21" customWidth="1"/>
    <col min="6" max="6" width="15.42578125" style="21" bestFit="1" customWidth="1"/>
    <col min="7" max="16384" width="9.140625" style="16"/>
  </cols>
  <sheetData>
    <row r="1" spans="2:6" ht="20.25" x14ac:dyDescent="0.35">
      <c r="B1" s="222" t="str">
        <f>RAMO</f>
        <v>RAMO: ESCOLA SUPERIOR DO MINISTÉRIO PÚBLICO DA UNIÃO</v>
      </c>
      <c r="C1" s="223"/>
      <c r="D1" s="223"/>
      <c r="E1" s="223"/>
      <c r="F1" s="224"/>
    </row>
    <row r="2" spans="2:6" ht="20.25" x14ac:dyDescent="0.35">
      <c r="B2" s="225" t="str">
        <f>UG</f>
        <v>UNIDADE GESTORA (SIGLA): ESMPU</v>
      </c>
      <c r="C2" s="226"/>
      <c r="D2" s="227"/>
      <c r="E2" s="111" t="s">
        <v>2</v>
      </c>
      <c r="F2" s="112" t="str">
        <f>DATA_DO_ORCAMENTO_ESTIMATIVO</f>
        <v>XX/XX/20XX</v>
      </c>
    </row>
    <row r="3" spans="2:6" s="99" customFormat="1" ht="25.5" x14ac:dyDescent="0.5">
      <c r="B3" s="158" t="s">
        <v>196</v>
      </c>
      <c r="C3" s="158"/>
      <c r="D3" s="158"/>
      <c r="E3" s="158"/>
      <c r="F3" s="158"/>
    </row>
    <row r="4" spans="2:6" s="99" customFormat="1" ht="15.95" customHeight="1" x14ac:dyDescent="0.3">
      <c r="B4" s="144" t="s">
        <v>5</v>
      </c>
      <c r="C4" s="144"/>
      <c r="D4" s="144"/>
      <c r="E4" s="144"/>
      <c r="F4" s="144"/>
    </row>
    <row r="5" spans="2:6" s="99" customFormat="1" ht="15.95" customHeight="1" x14ac:dyDescent="0.3">
      <c r="B5" s="142" t="s">
        <v>174</v>
      </c>
      <c r="C5" s="142"/>
      <c r="D5" s="228" t="str">
        <f>NUMERO_PROCESSO</f>
        <v>0.01.000.1.002991/2024-69</v>
      </c>
      <c r="E5" s="228"/>
      <c r="F5" s="228"/>
    </row>
    <row r="6" spans="2:6" s="99" customFormat="1" ht="15.75" customHeight="1" x14ac:dyDescent="0.3">
      <c r="B6" s="168" t="s">
        <v>175</v>
      </c>
      <c r="C6" s="168"/>
      <c r="D6" s="218" t="str">
        <f>MODALIDADE_DE_LICITACAO</f>
        <v>Pregão nº</v>
      </c>
      <c r="E6" s="218"/>
      <c r="F6" s="116" t="str">
        <f>NUMERO_PREGAO</f>
        <v>XX/20XX</v>
      </c>
    </row>
    <row r="7" spans="2:6" s="99" customFormat="1" ht="15.75" customHeight="1" x14ac:dyDescent="0.3">
      <c r="B7" s="219" t="s">
        <v>176</v>
      </c>
      <c r="C7" s="219"/>
      <c r="D7" s="219"/>
      <c r="E7" s="219"/>
      <c r="F7" s="219"/>
    </row>
    <row r="8" spans="2:6" s="99" customFormat="1" ht="18" customHeight="1" x14ac:dyDescent="0.3">
      <c r="B8" s="27" t="s">
        <v>14</v>
      </c>
      <c r="C8" s="142" t="s">
        <v>15</v>
      </c>
      <c r="D8" s="142"/>
      <c r="E8" s="142"/>
      <c r="F8" s="117" t="str">
        <f>DATA_APRESENTACAO_PROPOSTA</f>
        <v>XX/XX/20XX</v>
      </c>
    </row>
    <row r="9" spans="2:6" s="99" customFormat="1" ht="15.95" customHeight="1" x14ac:dyDescent="0.15">
      <c r="B9" s="1" t="s">
        <v>16</v>
      </c>
      <c r="C9" s="69" t="s">
        <v>17</v>
      </c>
      <c r="D9" s="220" t="str">
        <f>IF(LOCAL_DE_EXECUCAO="","",LOCAL_DE_EXECUCAO)</f>
        <v>Sede da ESMPU</v>
      </c>
      <c r="E9" s="220"/>
      <c r="F9" s="220"/>
    </row>
    <row r="10" spans="2:6" s="99" customFormat="1" ht="18.75" customHeight="1" x14ac:dyDescent="0.3">
      <c r="B10" s="27" t="s">
        <v>19</v>
      </c>
      <c r="C10" s="142" t="s">
        <v>23</v>
      </c>
      <c r="D10" s="142"/>
      <c r="E10" s="142"/>
      <c r="F10" s="118" t="str">
        <f>ACORDO_COLETIVO</f>
        <v>01/2024</v>
      </c>
    </row>
    <row r="11" spans="2:6" s="99" customFormat="1" ht="15.95" customHeight="1" x14ac:dyDescent="0.3">
      <c r="B11" s="1" t="s">
        <v>22</v>
      </c>
      <c r="C11" s="220" t="s">
        <v>26</v>
      </c>
      <c r="D11" s="220"/>
      <c r="E11" s="220"/>
      <c r="F11" s="110">
        <f>NUMERO_MESES_EXEC_CONTRATUAL</f>
        <v>12</v>
      </c>
    </row>
    <row r="12" spans="2:6" s="99" customFormat="1" x14ac:dyDescent="0.3">
      <c r="B12" s="1" t="s">
        <v>25</v>
      </c>
      <c r="C12" s="221" t="s">
        <v>177</v>
      </c>
      <c r="D12" s="221"/>
      <c r="E12" s="221"/>
      <c r="F12" s="135">
        <f>'INSERÇÃO-DE-DADOS'!F22</f>
        <v>1</v>
      </c>
    </row>
    <row r="13" spans="2:6" s="99" customFormat="1" ht="7.5" customHeight="1" x14ac:dyDescent="0.3">
      <c r="B13" s="119"/>
      <c r="C13" s="120"/>
      <c r="D13" s="120"/>
      <c r="E13" s="120"/>
      <c r="F13" s="20"/>
    </row>
    <row r="14" spans="2:6" s="99" customFormat="1" ht="21" customHeight="1" x14ac:dyDescent="0.5">
      <c r="B14" s="105" t="s">
        <v>46</v>
      </c>
      <c r="C14" s="16"/>
      <c r="D14" s="16"/>
      <c r="E14" s="16"/>
      <c r="F14" s="16"/>
    </row>
    <row r="15" spans="2:6" s="99" customFormat="1" x14ac:dyDescent="0.3">
      <c r="B15" s="27">
        <v>1</v>
      </c>
      <c r="C15" s="235" t="s">
        <v>38</v>
      </c>
      <c r="D15" s="236"/>
      <c r="E15" s="232" t="str">
        <f>TIPO_DE_SERVICO</f>
        <v>Vigilância</v>
      </c>
      <c r="F15" s="234"/>
    </row>
    <row r="16" spans="2:6" s="99" customFormat="1" x14ac:dyDescent="0.3">
      <c r="B16" s="27">
        <v>2</v>
      </c>
      <c r="C16" s="29" t="s">
        <v>40</v>
      </c>
      <c r="D16" s="237" t="str">
        <f>CBO</f>
        <v>5173-30</v>
      </c>
      <c r="E16" s="238"/>
      <c r="F16" s="239"/>
    </row>
    <row r="17" spans="2:6" s="99" customFormat="1" ht="15" customHeight="1" x14ac:dyDescent="0.3">
      <c r="B17" s="27">
        <v>3</v>
      </c>
      <c r="C17" s="58" t="s">
        <v>42</v>
      </c>
      <c r="D17" s="232" t="str">
        <f>CATEGORIA_PROFISSIONAL</f>
        <v>Vigilante</v>
      </c>
      <c r="E17" s="233"/>
      <c r="F17" s="234"/>
    </row>
    <row r="18" spans="2:6" s="99" customFormat="1" ht="15" customHeight="1" x14ac:dyDescent="0.3">
      <c r="B18" s="27">
        <v>4</v>
      </c>
      <c r="C18" s="240" t="s">
        <v>44</v>
      </c>
      <c r="D18" s="241"/>
      <c r="E18" s="242"/>
      <c r="F18" s="129">
        <f>DATA_BASE_CATEGORIA</f>
        <v>45292</v>
      </c>
    </row>
    <row r="19" spans="2:6" s="99" customFormat="1" ht="15" customHeight="1" x14ac:dyDescent="0.3">
      <c r="B19" s="30"/>
      <c r="C19" s="31"/>
      <c r="D19" s="31"/>
      <c r="E19" s="31"/>
      <c r="F19" s="104"/>
    </row>
    <row r="20" spans="2:6" s="121" customFormat="1" ht="30" customHeight="1" x14ac:dyDescent="0.3">
      <c r="B20" s="216" t="s">
        <v>178</v>
      </c>
      <c r="C20" s="216"/>
      <c r="D20" s="216"/>
      <c r="E20" s="216"/>
      <c r="F20" s="216"/>
    </row>
    <row r="21" spans="2:6" x14ac:dyDescent="0.3">
      <c r="B21" s="188" t="s">
        <v>179</v>
      </c>
      <c r="C21" s="188"/>
      <c r="D21" s="188"/>
      <c r="E21" s="188"/>
      <c r="F21" s="115">
        <v>1</v>
      </c>
    </row>
    <row r="22" spans="2:6" x14ac:dyDescent="0.3">
      <c r="B22" s="53" t="s">
        <v>47</v>
      </c>
      <c r="E22" s="17"/>
      <c r="F22" s="17"/>
    </row>
    <row r="23" spans="2:6" x14ac:dyDescent="0.3">
      <c r="B23" s="51">
        <v>1</v>
      </c>
      <c r="C23" s="180" t="s">
        <v>48</v>
      </c>
      <c r="D23" s="180"/>
      <c r="E23" s="180"/>
      <c r="F23" s="52" t="s">
        <v>85</v>
      </c>
    </row>
    <row r="24" spans="2:6" x14ac:dyDescent="0.3">
      <c r="B24" s="51" t="s">
        <v>14</v>
      </c>
      <c r="C24" s="243" t="s">
        <v>180</v>
      </c>
      <c r="D24" s="243"/>
      <c r="E24" s="243"/>
      <c r="F24" s="136">
        <f>'INSERÇÃO-DE-DADOS'!F35</f>
        <v>3266.67</v>
      </c>
    </row>
    <row r="25" spans="2:6" x14ac:dyDescent="0.3">
      <c r="B25" s="51" t="s">
        <v>16</v>
      </c>
      <c r="C25" s="182" t="s">
        <v>181</v>
      </c>
      <c r="D25" s="182"/>
      <c r="E25" s="182"/>
      <c r="F25" s="13">
        <f>PERC_ADIC_PERIC%*SALARIO_BASE</f>
        <v>817.02</v>
      </c>
    </row>
    <row r="26" spans="2:6" x14ac:dyDescent="0.3">
      <c r="B26" s="1" t="s">
        <v>19</v>
      </c>
      <c r="C26" s="207" t="str">
        <f>OUTROS_REMUNERACAO_1_DESCRICAO</f>
        <v>Outras Remunerações 1 (Especificar)</v>
      </c>
      <c r="D26" s="208"/>
      <c r="E26" s="209"/>
      <c r="F26" s="59">
        <f>OUTROS_REMUNERACAO_1</f>
        <v>0</v>
      </c>
    </row>
    <row r="27" spans="2:6" x14ac:dyDescent="0.3">
      <c r="B27" s="1" t="s">
        <v>22</v>
      </c>
      <c r="C27" s="210" t="str">
        <f>OUTROS_REMUNERACAO_2_DESCRICAO</f>
        <v>Outras Remunerações 2 (Especificar)</v>
      </c>
      <c r="D27" s="211"/>
      <c r="E27" s="212"/>
      <c r="F27" s="13">
        <f>OUTROS_REMUNERACAO_2</f>
        <v>0</v>
      </c>
    </row>
    <row r="28" spans="2:6" x14ac:dyDescent="0.3">
      <c r="B28" s="1" t="s">
        <v>25</v>
      </c>
      <c r="C28" s="207" t="str">
        <f>OUTROS_REMUNERACAO_3_DESCRICAO</f>
        <v>Outras Remunerações 3 (Especificar)</v>
      </c>
      <c r="D28" s="208"/>
      <c r="E28" s="209"/>
      <c r="F28" s="59">
        <f>OUTROS_REMUNERACAO_3</f>
        <v>0</v>
      </c>
    </row>
    <row r="29" spans="2:6" x14ac:dyDescent="0.3">
      <c r="B29" s="205" t="s">
        <v>155</v>
      </c>
      <c r="C29" s="205"/>
      <c r="D29" s="205"/>
      <c r="E29" s="205"/>
      <c r="F29" s="45">
        <f>SUM(F24:F28)</f>
        <v>4083.69</v>
      </c>
    </row>
    <row r="30" spans="2:6" ht="10.5" customHeight="1" x14ac:dyDescent="0.3">
      <c r="B30" s="19"/>
      <c r="C30" s="16"/>
      <c r="D30" s="20"/>
      <c r="E30" s="17"/>
      <c r="F30" s="17"/>
    </row>
    <row r="31" spans="2:6" x14ac:dyDescent="0.3">
      <c r="B31" s="53" t="s">
        <v>135</v>
      </c>
      <c r="E31" s="23"/>
      <c r="F31" s="23"/>
    </row>
    <row r="32" spans="2:6" x14ac:dyDescent="0.3">
      <c r="B32" s="53" t="s">
        <v>197</v>
      </c>
      <c r="C32" s="15"/>
      <c r="D32" s="24"/>
      <c r="E32" s="22"/>
      <c r="F32" s="22"/>
    </row>
    <row r="33" spans="2:6" x14ac:dyDescent="0.3">
      <c r="B33" s="51" t="s">
        <v>137</v>
      </c>
      <c r="C33" s="244" t="s">
        <v>138</v>
      </c>
      <c r="D33" s="244"/>
      <c r="E33" s="52" t="s">
        <v>75</v>
      </c>
      <c r="F33" s="52" t="s">
        <v>85</v>
      </c>
    </row>
    <row r="34" spans="2:6" x14ac:dyDescent="0.3">
      <c r="B34" s="51" t="s">
        <v>14</v>
      </c>
      <c r="C34" s="181" t="s">
        <v>140</v>
      </c>
      <c r="D34" s="181"/>
      <c r="E34" s="67">
        <f>(1/12)*100</f>
        <v>8.33</v>
      </c>
      <c r="F34" s="60">
        <f>PERC_DEC_TERC%*F29</f>
        <v>340.17</v>
      </c>
    </row>
    <row r="35" spans="2:6" x14ac:dyDescent="0.3">
      <c r="B35" s="47" t="s">
        <v>16</v>
      </c>
      <c r="C35" s="139" t="s">
        <v>142</v>
      </c>
      <c r="D35" s="141"/>
      <c r="E35" s="56">
        <f>(1/3)/12*100</f>
        <v>2.78</v>
      </c>
      <c r="F35" s="38">
        <f>PERC_ADIC_FERIAS%*F29</f>
        <v>113.53</v>
      </c>
    </row>
    <row r="36" spans="2:6" s="106" customFormat="1" x14ac:dyDescent="0.3">
      <c r="B36" s="245" t="s">
        <v>155</v>
      </c>
      <c r="C36" s="246"/>
      <c r="D36" s="246"/>
      <c r="E36" s="247"/>
      <c r="F36" s="43">
        <f>SUM(F34:F35)</f>
        <v>453.7</v>
      </c>
    </row>
    <row r="37" spans="2:6" s="106" customFormat="1" ht="31.5" customHeight="1" x14ac:dyDescent="0.3">
      <c r="B37" s="248" t="s">
        <v>144</v>
      </c>
      <c r="C37" s="248"/>
      <c r="D37" s="248"/>
      <c r="E37" s="248"/>
      <c r="F37" s="248"/>
    </row>
    <row r="38" spans="2:6" s="106" customFormat="1" ht="33.75" customHeight="1" x14ac:dyDescent="0.3">
      <c r="B38" s="51" t="s">
        <v>145</v>
      </c>
      <c r="C38" s="249" t="s">
        <v>146</v>
      </c>
      <c r="D38" s="249"/>
      <c r="E38" s="52" t="s">
        <v>75</v>
      </c>
      <c r="F38" s="52" t="s">
        <v>85</v>
      </c>
    </row>
    <row r="39" spans="2:6" x14ac:dyDescent="0.3">
      <c r="B39" s="51" t="s">
        <v>14</v>
      </c>
      <c r="C39" s="181" t="s">
        <v>147</v>
      </c>
      <c r="D39" s="181"/>
      <c r="E39" s="67">
        <v>20</v>
      </c>
      <c r="F39" s="60">
        <f>PERC_INSS%*(F29+F36)</f>
        <v>907.48</v>
      </c>
    </row>
    <row r="40" spans="2:6" s="99" customFormat="1" x14ac:dyDescent="0.15">
      <c r="B40" s="47" t="s">
        <v>16</v>
      </c>
      <c r="C40" s="182" t="s">
        <v>148</v>
      </c>
      <c r="D40" s="182"/>
      <c r="E40" s="57">
        <v>2.5</v>
      </c>
      <c r="F40" s="38">
        <f>PERC_SAL_EDUCACAO%*(F29+F36)</f>
        <v>113.43</v>
      </c>
    </row>
    <row r="41" spans="2:6" s="99" customFormat="1" x14ac:dyDescent="0.15">
      <c r="B41" s="47" t="s">
        <v>19</v>
      </c>
      <c r="C41" s="181" t="s">
        <v>149</v>
      </c>
      <c r="D41" s="181"/>
      <c r="E41" s="67">
        <v>3</v>
      </c>
      <c r="F41" s="60">
        <f>PERC_RAT%*(F29+F36)</f>
        <v>136.12</v>
      </c>
    </row>
    <row r="42" spans="2:6" s="99" customFormat="1" x14ac:dyDescent="0.15">
      <c r="B42" s="47" t="s">
        <v>22</v>
      </c>
      <c r="C42" s="182" t="s">
        <v>150</v>
      </c>
      <c r="D42" s="182"/>
      <c r="E42" s="56">
        <v>1.5</v>
      </c>
      <c r="F42" s="38">
        <f>PERC_SESC%*(F29+F36)</f>
        <v>68.06</v>
      </c>
    </row>
    <row r="43" spans="2:6" s="99" customFormat="1" x14ac:dyDescent="0.15">
      <c r="B43" s="47" t="s">
        <v>25</v>
      </c>
      <c r="C43" s="181" t="s">
        <v>151</v>
      </c>
      <c r="D43" s="181"/>
      <c r="E43" s="67">
        <v>1</v>
      </c>
      <c r="F43" s="60">
        <f>PERC_SENAC%*(F29+F36)</f>
        <v>45.37</v>
      </c>
    </row>
    <row r="44" spans="2:6" s="99" customFormat="1" x14ac:dyDescent="0.15">
      <c r="B44" s="47" t="s">
        <v>55</v>
      </c>
      <c r="C44" s="182" t="s">
        <v>152</v>
      </c>
      <c r="D44" s="182"/>
      <c r="E44" s="57">
        <v>0.6</v>
      </c>
      <c r="F44" s="38">
        <f>PERC_SEBRAE%*(F29+F36)</f>
        <v>27.22</v>
      </c>
    </row>
    <row r="45" spans="2:6" s="99" customFormat="1" x14ac:dyDescent="0.15">
      <c r="B45" s="47" t="s">
        <v>57</v>
      </c>
      <c r="C45" s="181" t="s">
        <v>153</v>
      </c>
      <c r="D45" s="181"/>
      <c r="E45" s="67">
        <v>0.2</v>
      </c>
      <c r="F45" s="60">
        <f>PERC_INCRA%*(F29+F36)</f>
        <v>9.07</v>
      </c>
    </row>
    <row r="46" spans="2:6" x14ac:dyDescent="0.3">
      <c r="B46" s="47" t="s">
        <v>129</v>
      </c>
      <c r="C46" s="182" t="s">
        <v>154</v>
      </c>
      <c r="D46" s="182"/>
      <c r="E46" s="57">
        <v>8</v>
      </c>
      <c r="F46" s="38">
        <f>PERC_FGTS%*(F29+F36)</f>
        <v>362.99</v>
      </c>
    </row>
    <row r="47" spans="2:6" x14ac:dyDescent="0.3">
      <c r="B47" s="245" t="s">
        <v>155</v>
      </c>
      <c r="C47" s="246"/>
      <c r="D47" s="246"/>
      <c r="E47" s="247"/>
      <c r="F47" s="44">
        <f>SUM(F39:F46)</f>
        <v>1669.74</v>
      </c>
    </row>
    <row r="48" spans="2:6" ht="15.75" customHeight="1" x14ac:dyDescent="0.3">
      <c r="B48" s="53" t="s">
        <v>59</v>
      </c>
      <c r="C48" s="99"/>
      <c r="D48" s="99"/>
      <c r="E48" s="99"/>
      <c r="F48" s="99"/>
    </row>
    <row r="49" spans="2:6" ht="15.75" customHeight="1" x14ac:dyDescent="0.3">
      <c r="B49" s="51" t="s">
        <v>60</v>
      </c>
      <c r="C49" s="180" t="s">
        <v>61</v>
      </c>
      <c r="D49" s="180"/>
      <c r="E49" s="180"/>
      <c r="F49" s="52" t="s">
        <v>85</v>
      </c>
    </row>
    <row r="50" spans="2:6" x14ac:dyDescent="0.3">
      <c r="B50" s="46" t="s">
        <v>14</v>
      </c>
      <c r="C50" s="207" t="s">
        <v>64</v>
      </c>
      <c r="D50" s="208"/>
      <c r="E50" s="209"/>
      <c r="F50" s="60">
        <f>IF(((TRANSPORTE_POR_DIA*DIAS_UTEIS_TRABALHADOS_NO_MES_44HORAS)-(PERC_DESC_TRANSP_REMUNERACAO%*('INSERÇÃO-DE-DADOS'!F35)))&gt;0,((TRANSPORTE_POR_DIA*DIAS_UTEIS_TRABALHADOS_NO_MES_44HORAS)-(PERC_DESC_TRANSP_REMUNERACAO%*('INSERÇÃO-DE-DADOS'!F35))),0)</f>
        <v>46</v>
      </c>
    </row>
    <row r="51" spans="2:6" s="106" customFormat="1" x14ac:dyDescent="0.3">
      <c r="B51" s="46" t="s">
        <v>16</v>
      </c>
      <c r="C51" s="139" t="s">
        <v>66</v>
      </c>
      <c r="D51" s="140"/>
      <c r="E51" s="141"/>
      <c r="F51" s="38">
        <f>ALIMENTACAO_POR_DIA*DIAS_UTEIS_TRABALHADOS_NO_MES_44HORAS</f>
        <v>1042.1400000000001</v>
      </c>
    </row>
    <row r="52" spans="2:6" s="106" customFormat="1" x14ac:dyDescent="0.3">
      <c r="B52" s="27" t="s">
        <v>19</v>
      </c>
      <c r="C52" s="207" t="str">
        <f>OUTROS_BENEFICIOS_1_DESCRICAO</f>
        <v>Seguro de vida em grupo</v>
      </c>
      <c r="D52" s="208"/>
      <c r="E52" s="209"/>
      <c r="F52" s="60">
        <f>OUTROS_BENEFICIOS_1</f>
        <v>25.26</v>
      </c>
    </row>
    <row r="53" spans="2:6" s="106" customFormat="1" x14ac:dyDescent="0.3">
      <c r="B53" s="27" t="s">
        <v>22</v>
      </c>
      <c r="C53" s="210" t="str">
        <f>OUTROS_BENEFICIOS_2_DESCRICAO</f>
        <v>Outros Benefícios 2 (Especificar)</v>
      </c>
      <c r="D53" s="211"/>
      <c r="E53" s="212"/>
      <c r="F53" s="38">
        <f>OUTROS_BENEFICIOS_2</f>
        <v>0</v>
      </c>
    </row>
    <row r="54" spans="2:6" s="106" customFormat="1" x14ac:dyDescent="0.3">
      <c r="B54" s="27" t="s">
        <v>25</v>
      </c>
      <c r="C54" s="207" t="str">
        <f>OUTROS_BENEFICIOS_3_DESCRICAO</f>
        <v>Outros Benefícios 3 (Especificar)</v>
      </c>
      <c r="D54" s="208"/>
      <c r="E54" s="209"/>
      <c r="F54" s="60">
        <f>OUTROS_BENEFICIOS_3</f>
        <v>0</v>
      </c>
    </row>
    <row r="55" spans="2:6" s="106" customFormat="1" ht="15" customHeight="1" x14ac:dyDescent="0.3">
      <c r="B55" s="205" t="s">
        <v>155</v>
      </c>
      <c r="C55" s="205"/>
      <c r="D55" s="205"/>
      <c r="E55" s="205"/>
      <c r="F55" s="45">
        <f>SUM(F50:F54)</f>
        <v>1113.4000000000001</v>
      </c>
    </row>
    <row r="56" spans="2:6" ht="10.5" customHeight="1" x14ac:dyDescent="0.3">
      <c r="B56" s="19"/>
      <c r="C56" s="16"/>
      <c r="D56" s="20"/>
      <c r="E56" s="17"/>
      <c r="F56" s="17"/>
    </row>
    <row r="57" spans="2:6" s="106" customFormat="1" x14ac:dyDescent="0.3">
      <c r="B57" s="53" t="s">
        <v>115</v>
      </c>
      <c r="C57" s="15"/>
      <c r="D57" s="24"/>
      <c r="E57" s="22"/>
      <c r="F57" s="22"/>
    </row>
    <row r="58" spans="2:6" s="106" customFormat="1" ht="15" customHeight="1" x14ac:dyDescent="0.3">
      <c r="B58" s="1">
        <v>3</v>
      </c>
      <c r="C58" s="188" t="s">
        <v>116</v>
      </c>
      <c r="D58" s="188"/>
      <c r="E58" s="4" t="s">
        <v>75</v>
      </c>
      <c r="F58" s="4" t="s">
        <v>85</v>
      </c>
    </row>
    <row r="59" spans="2:6" s="106" customFormat="1" x14ac:dyDescent="0.3">
      <c r="B59" s="1" t="s">
        <v>14</v>
      </c>
      <c r="C59" s="198" t="s">
        <v>156</v>
      </c>
      <c r="D59" s="198"/>
      <c r="E59" s="61">
        <f>PERC_AVISO_PREVIO_IND</f>
        <v>0.28999999999999998</v>
      </c>
      <c r="F59" s="60">
        <f>PERC_AVISO_PREVIO_IND%*(F29+F36+F46+F55)</f>
        <v>17.440000000000001</v>
      </c>
    </row>
    <row r="60" spans="2:6" s="106" customFormat="1" x14ac:dyDescent="0.3">
      <c r="B60" s="2" t="s">
        <v>16</v>
      </c>
      <c r="C60" s="200" t="s">
        <v>158</v>
      </c>
      <c r="D60" s="200"/>
      <c r="E60" s="48">
        <f>PERC_AVISO_PREVIO_TRAB</f>
        <v>1.1599999999999999</v>
      </c>
      <c r="F60" s="38">
        <f>PERC_AVISO_PREVIO_TRAB%*(F29+F36+F47+F55)</f>
        <v>84.92</v>
      </c>
    </row>
    <row r="61" spans="2:6" s="99" customFormat="1" x14ac:dyDescent="0.15">
      <c r="B61" s="2" t="s">
        <v>19</v>
      </c>
      <c r="C61" s="198" t="s">
        <v>160</v>
      </c>
      <c r="D61" s="198"/>
      <c r="E61" s="61">
        <f>PERC_MULTA_FGTS_AV_PREV_TRAB</f>
        <v>0.04</v>
      </c>
      <c r="F61" s="60">
        <f>PERC_MULTA_FGTS_AV_PREV_TRAB%*(F29+F36)</f>
        <v>1.81</v>
      </c>
    </row>
    <row r="62" spans="2:6" s="99" customFormat="1" x14ac:dyDescent="0.3">
      <c r="B62" s="177" t="s">
        <v>155</v>
      </c>
      <c r="C62" s="178"/>
      <c r="D62" s="178"/>
      <c r="E62" s="179"/>
      <c r="F62" s="43">
        <f>SUM(F59:F61)</f>
        <v>104.17</v>
      </c>
    </row>
    <row r="63" spans="2:6" ht="10.5" customHeight="1" x14ac:dyDescent="0.3">
      <c r="B63" s="19"/>
      <c r="C63" s="16"/>
      <c r="D63" s="20"/>
      <c r="E63" s="17"/>
      <c r="F63" s="17"/>
    </row>
    <row r="64" spans="2:6" s="99" customFormat="1" ht="15.95" customHeight="1" x14ac:dyDescent="0.3">
      <c r="B64" s="53" t="s">
        <v>71</v>
      </c>
      <c r="C64" s="15"/>
      <c r="D64" s="24"/>
      <c r="E64" s="16"/>
      <c r="F64" s="16"/>
    </row>
    <row r="65" spans="2:6" s="99" customFormat="1" ht="15.95" customHeight="1" x14ac:dyDescent="0.3">
      <c r="B65" s="53" t="s">
        <v>72</v>
      </c>
      <c r="C65" s="15"/>
      <c r="D65" s="24"/>
      <c r="E65" s="22"/>
      <c r="F65" s="22"/>
    </row>
    <row r="66" spans="2:6" s="99" customFormat="1" x14ac:dyDescent="0.15">
      <c r="B66" s="1" t="s">
        <v>73</v>
      </c>
      <c r="C66" s="199" t="s">
        <v>74</v>
      </c>
      <c r="D66" s="199"/>
      <c r="E66" s="4" t="s">
        <v>75</v>
      </c>
      <c r="F66" s="4" t="s">
        <v>85</v>
      </c>
    </row>
    <row r="67" spans="2:6" s="99" customFormat="1" ht="15.95" customHeight="1" x14ac:dyDescent="0.15">
      <c r="B67" s="2" t="s">
        <v>14</v>
      </c>
      <c r="C67" s="195" t="s">
        <v>162</v>
      </c>
      <c r="D67" s="195"/>
      <c r="E67" s="61">
        <f>PERC_SUBSTITUTO_FERIAS</f>
        <v>8.33</v>
      </c>
      <c r="F67" s="60">
        <f>PERC_SUBSTITUTO_FERIAS%*(F29+F36+F47+F55+F62)</f>
        <v>618.48</v>
      </c>
    </row>
    <row r="68" spans="2:6" s="99" customFormat="1" ht="15.95" customHeight="1" x14ac:dyDescent="0.15">
      <c r="B68" s="2" t="s">
        <v>16</v>
      </c>
      <c r="C68" s="196" t="s">
        <v>164</v>
      </c>
      <c r="D68" s="196"/>
      <c r="E68" s="48">
        <f>PERC_SUBSTITUTO_AUSENCIAS_LEGAIS</f>
        <v>2.2200000000000002</v>
      </c>
      <c r="F68" s="38">
        <f>PERC_SUBSTITUTO_AUSENCIAS_LEGAIS%*(F29+F36+F47+F55+F62)</f>
        <v>164.83</v>
      </c>
    </row>
    <row r="69" spans="2:6" s="99" customFormat="1" ht="15.95" customHeight="1" x14ac:dyDescent="0.15">
      <c r="B69" s="2" t="s">
        <v>19</v>
      </c>
      <c r="C69" s="195" t="s">
        <v>166</v>
      </c>
      <c r="D69" s="195"/>
      <c r="E69" s="61">
        <f>PERC_SUBSTITUTO_LICENCA_PATERNIDADE</f>
        <v>7.0000000000000007E-2</v>
      </c>
      <c r="F69" s="60">
        <f>PERC_SUBSTITUTO_LICENCA_PATERNIDADE%*(F29+F36+F47+F55+F62)</f>
        <v>5.2</v>
      </c>
    </row>
    <row r="70" spans="2:6" s="99" customFormat="1" x14ac:dyDescent="0.15">
      <c r="B70" s="2" t="s">
        <v>22</v>
      </c>
      <c r="C70" s="196" t="s">
        <v>168</v>
      </c>
      <c r="D70" s="196"/>
      <c r="E70" s="48">
        <f>PERC_SUBSTITUTO_ACID_TRAB</f>
        <v>0.02</v>
      </c>
      <c r="F70" s="38">
        <f>PERC_SUBSTITUTO_ACID_TRAB%*(F29+F36+F47+F55+F62)</f>
        <v>1.48</v>
      </c>
    </row>
    <row r="71" spans="2:6" s="99" customFormat="1" x14ac:dyDescent="0.15">
      <c r="B71" s="2" t="s">
        <v>25</v>
      </c>
      <c r="C71" s="195" t="s">
        <v>170</v>
      </c>
      <c r="D71" s="195"/>
      <c r="E71" s="61">
        <f>PERC_SUBSTITUTO_AFAST_MATERN</f>
        <v>0.04</v>
      </c>
      <c r="F71" s="60">
        <f>PERC_SUBSTITUTO_AFAST_MATERN%*(F29+F36+F47+F55+F62)</f>
        <v>2.97</v>
      </c>
    </row>
    <row r="72" spans="2:6" s="99" customFormat="1" x14ac:dyDescent="0.15">
      <c r="B72" s="2" t="s">
        <v>55</v>
      </c>
      <c r="C72" s="206" t="str">
        <f>OUTRAS_AUSENCIAS_DESCRICAO</f>
        <v>Outras Ausências (Especificar - em %)</v>
      </c>
      <c r="D72" s="196"/>
      <c r="E72" s="55">
        <f>PERC_SUBSTITUTO_OUTRAS_AUSENCIAS</f>
        <v>0</v>
      </c>
      <c r="F72" s="38">
        <f>PERC_SUBSTITUTO_OUTRAS_AUSENCIAS%*(F29+F36+F47+F55+F62)</f>
        <v>0</v>
      </c>
    </row>
    <row r="73" spans="2:6" s="99" customFormat="1" x14ac:dyDescent="0.3">
      <c r="B73" s="177" t="s">
        <v>155</v>
      </c>
      <c r="C73" s="178"/>
      <c r="D73" s="178"/>
      <c r="E73" s="179"/>
      <c r="F73" s="43">
        <f>SUM(F67:F72)</f>
        <v>792.96</v>
      </c>
    </row>
    <row r="74" spans="2:6" ht="18" customHeight="1" x14ac:dyDescent="0.3">
      <c r="B74" s="19"/>
      <c r="C74" s="16"/>
      <c r="D74" s="20"/>
      <c r="E74" s="17"/>
      <c r="F74" s="17"/>
    </row>
    <row r="75" spans="2:6" x14ac:dyDescent="0.3">
      <c r="B75" s="53" t="s">
        <v>77</v>
      </c>
      <c r="C75" s="15"/>
      <c r="D75" s="24"/>
      <c r="E75" s="22"/>
      <c r="F75" s="22"/>
    </row>
    <row r="76" spans="2:6" x14ac:dyDescent="0.3">
      <c r="B76" s="1" t="s">
        <v>78</v>
      </c>
      <c r="C76" s="131" t="s">
        <v>79</v>
      </c>
      <c r="D76" s="131"/>
      <c r="E76" s="131"/>
      <c r="F76" s="4" t="s">
        <v>85</v>
      </c>
    </row>
    <row r="77" spans="2:6" ht="33" x14ac:dyDescent="0.3">
      <c r="B77" s="1" t="s">
        <v>14</v>
      </c>
      <c r="C77" s="132" t="s">
        <v>182</v>
      </c>
      <c r="D77" s="132"/>
      <c r="E77" s="132"/>
      <c r="F77" s="59"/>
    </row>
    <row r="78" spans="2:6" x14ac:dyDescent="0.3">
      <c r="B78" s="188" t="s">
        <v>155</v>
      </c>
      <c r="C78" s="188"/>
      <c r="D78" s="188"/>
      <c r="E78" s="188"/>
      <c r="F78" s="43">
        <f>SUM(F77)</f>
        <v>0</v>
      </c>
    </row>
    <row r="79" spans="2:6" x14ac:dyDescent="0.3">
      <c r="C79" s="16"/>
      <c r="D79" s="16"/>
      <c r="E79" s="16"/>
      <c r="F79" s="16"/>
    </row>
    <row r="80" spans="2:6" x14ac:dyDescent="0.3">
      <c r="B80" s="53" t="s">
        <v>83</v>
      </c>
      <c r="C80" s="15"/>
      <c r="D80" s="15"/>
      <c r="E80" s="22"/>
      <c r="F80" s="22"/>
    </row>
    <row r="81" spans="2:6" ht="15.75" customHeight="1" x14ac:dyDescent="0.3">
      <c r="B81" s="51">
        <v>5</v>
      </c>
      <c r="C81" s="180" t="s">
        <v>84</v>
      </c>
      <c r="D81" s="180"/>
      <c r="E81" s="180"/>
      <c r="F81" s="52" t="s">
        <v>85</v>
      </c>
    </row>
    <row r="82" spans="2:6" x14ac:dyDescent="0.3">
      <c r="B82" s="46" t="s">
        <v>14</v>
      </c>
      <c r="C82" s="181" t="s">
        <v>86</v>
      </c>
      <c r="D82" s="181"/>
      <c r="E82" s="181"/>
      <c r="F82" s="62">
        <f>UNIFORMES</f>
        <v>76.69</v>
      </c>
    </row>
    <row r="83" spans="2:6" x14ac:dyDescent="0.3">
      <c r="B83" s="46" t="s">
        <v>16</v>
      </c>
      <c r="C83" s="182" t="s">
        <v>87</v>
      </c>
      <c r="D83" s="182"/>
      <c r="E83" s="182"/>
      <c r="F83" s="49">
        <f>MATERIAIS</f>
        <v>132.86000000000001</v>
      </c>
    </row>
    <row r="84" spans="2:6" x14ac:dyDescent="0.3">
      <c r="B84" s="46" t="s">
        <v>19</v>
      </c>
      <c r="C84" s="181" t="s">
        <v>88</v>
      </c>
      <c r="D84" s="181"/>
      <c r="E84" s="181"/>
      <c r="F84" s="62">
        <f>EQUIPAMENTOS</f>
        <v>0</v>
      </c>
    </row>
    <row r="85" spans="2:6" x14ac:dyDescent="0.3">
      <c r="B85" s="46" t="s">
        <v>22</v>
      </c>
      <c r="C85" s="204" t="str">
        <f>OUTROS_INSUMOS_DESCRICAO</f>
        <v>Outros (Especificar)</v>
      </c>
      <c r="D85" s="182"/>
      <c r="E85" s="182"/>
      <c r="F85" s="49">
        <f>OUTROS_INSUMOS</f>
        <v>0</v>
      </c>
    </row>
    <row r="86" spans="2:6" x14ac:dyDescent="0.3">
      <c r="B86" s="205" t="s">
        <v>155</v>
      </c>
      <c r="C86" s="205"/>
      <c r="D86" s="205"/>
      <c r="E86" s="205"/>
      <c r="F86" s="45">
        <f>SUM(F82:F85)</f>
        <v>209.55</v>
      </c>
    </row>
    <row r="87" spans="2:6" ht="10.5" customHeight="1" x14ac:dyDescent="0.3">
      <c r="B87" s="19"/>
      <c r="C87" s="16"/>
      <c r="D87" s="20"/>
      <c r="E87" s="17"/>
      <c r="F87" s="17"/>
    </row>
    <row r="88" spans="2:6" ht="15" customHeight="1" x14ac:dyDescent="0.3">
      <c r="B88" s="173" t="s">
        <v>90</v>
      </c>
      <c r="C88" s="173"/>
      <c r="D88" s="173"/>
      <c r="E88" s="173"/>
      <c r="F88" s="173"/>
    </row>
    <row r="89" spans="2:6" x14ac:dyDescent="0.3">
      <c r="B89" s="1">
        <v>6</v>
      </c>
      <c r="C89" s="188" t="s">
        <v>91</v>
      </c>
      <c r="D89" s="188"/>
      <c r="E89" s="4" t="s">
        <v>75</v>
      </c>
      <c r="F89" s="4" t="s">
        <v>85</v>
      </c>
    </row>
    <row r="90" spans="2:6" x14ac:dyDescent="0.3">
      <c r="B90" s="1" t="s">
        <v>14</v>
      </c>
      <c r="C90" s="195" t="s">
        <v>92</v>
      </c>
      <c r="D90" s="195"/>
      <c r="E90" s="63">
        <f>PERC_CUSTOS_INDIRETOS</f>
        <v>4.8499999999999996</v>
      </c>
      <c r="F90" s="60">
        <f>PERC_CUSTOS_INDIRETOS%*(F29+F36+F47+F55+F62+F73+F78+F86)</f>
        <v>408.72</v>
      </c>
    </row>
    <row r="91" spans="2:6" ht="15.75" customHeight="1" x14ac:dyDescent="0.3">
      <c r="B91" s="2" t="s">
        <v>16</v>
      </c>
      <c r="C91" s="196" t="s">
        <v>93</v>
      </c>
      <c r="D91" s="196"/>
      <c r="E91" s="50">
        <f>PERC_LUCRO</f>
        <v>5.45</v>
      </c>
      <c r="F91" s="38">
        <f>PERC_LUCRO%*(F29+F36+F47+F55+F62+F73+F78+F86)</f>
        <v>459.28</v>
      </c>
    </row>
    <row r="92" spans="2:6" x14ac:dyDescent="0.3">
      <c r="B92" s="2" t="s">
        <v>19</v>
      </c>
      <c r="C92" s="195" t="s">
        <v>183</v>
      </c>
      <c r="D92" s="195"/>
      <c r="E92" s="63">
        <f>SUM(E93:E95)</f>
        <v>8.65</v>
      </c>
      <c r="F92" s="60">
        <f>SUM(F93:F95)</f>
        <v>880.17</v>
      </c>
    </row>
    <row r="93" spans="2:6" ht="15.75" customHeight="1" x14ac:dyDescent="0.3">
      <c r="B93" s="32" t="s">
        <v>94</v>
      </c>
      <c r="C93" s="203" t="s">
        <v>95</v>
      </c>
      <c r="D93" s="203"/>
      <c r="E93" s="33">
        <f>PERC_PIS</f>
        <v>0.65</v>
      </c>
      <c r="F93" s="65">
        <f>((F29+F36+F47+F55+F62+F73+F78+F86+F90+F91)*E93%)/(1-E92%)</f>
        <v>66.14</v>
      </c>
    </row>
    <row r="94" spans="2:6" x14ac:dyDescent="0.3">
      <c r="B94" s="32" t="s">
        <v>96</v>
      </c>
      <c r="C94" s="202" t="s">
        <v>97</v>
      </c>
      <c r="D94" s="202"/>
      <c r="E94" s="64">
        <f>PERC_COFINS</f>
        <v>3</v>
      </c>
      <c r="F94" s="66">
        <f>((F29+F36+F47+F55+F62+F73+F78+F86+F90+F91)*E94%)/(1-E92%)</f>
        <v>305.26</v>
      </c>
    </row>
    <row r="95" spans="2:6" s="107" customFormat="1" x14ac:dyDescent="0.3">
      <c r="B95" s="32" t="s">
        <v>98</v>
      </c>
      <c r="C95" s="203" t="s">
        <v>99</v>
      </c>
      <c r="D95" s="203"/>
      <c r="E95" s="33">
        <f>PERC_ISS</f>
        <v>5</v>
      </c>
      <c r="F95" s="65">
        <f>((F29+F36+F47+F55+F62+F73+F78+F86+F90+F91)*E95%)/(1-E92%)</f>
        <v>508.77</v>
      </c>
    </row>
    <row r="96" spans="2:6" s="107" customFormat="1" x14ac:dyDescent="0.3">
      <c r="B96" s="177" t="s">
        <v>155</v>
      </c>
      <c r="C96" s="178"/>
      <c r="D96" s="178"/>
      <c r="E96" s="179"/>
      <c r="F96" s="39">
        <f>F90+F91+F92</f>
        <v>1748.17</v>
      </c>
    </row>
    <row r="97" spans="2:6" ht="19.5" customHeight="1" x14ac:dyDescent="0.3">
      <c r="B97" s="19"/>
      <c r="C97" s="16"/>
      <c r="D97" s="20"/>
      <c r="E97" s="17"/>
      <c r="F97" s="17"/>
    </row>
    <row r="98" spans="2:6" s="107" customFormat="1" ht="30.75" customHeight="1" x14ac:dyDescent="0.3">
      <c r="B98" s="54" t="s">
        <v>184</v>
      </c>
      <c r="C98" s="18"/>
      <c r="D98" s="18"/>
      <c r="E98" s="18"/>
      <c r="F98" s="25"/>
    </row>
    <row r="99" spans="2:6" s="108" customFormat="1" ht="16.5" customHeight="1" x14ac:dyDescent="0.3">
      <c r="B99" s="2" t="s">
        <v>185</v>
      </c>
      <c r="C99" s="185" t="s">
        <v>186</v>
      </c>
      <c r="D99" s="186"/>
      <c r="E99" s="187"/>
      <c r="F99" s="4" t="s">
        <v>187</v>
      </c>
    </row>
    <row r="100" spans="2:6" s="107" customFormat="1" x14ac:dyDescent="0.3">
      <c r="B100" s="1">
        <v>1</v>
      </c>
      <c r="C100" s="195" t="s">
        <v>48</v>
      </c>
      <c r="D100" s="195"/>
      <c r="E100" s="195"/>
      <c r="F100" s="60">
        <f>F29</f>
        <v>4083.69</v>
      </c>
    </row>
    <row r="101" spans="2:6" s="109" customFormat="1" ht="16.5" customHeight="1" x14ac:dyDescent="0.3">
      <c r="B101" s="2">
        <v>2</v>
      </c>
      <c r="C101" s="196" t="s">
        <v>188</v>
      </c>
      <c r="D101" s="196"/>
      <c r="E101" s="196"/>
      <c r="F101" s="38">
        <f>F36+F47+F55</f>
        <v>3236.84</v>
      </c>
    </row>
    <row r="102" spans="2:6" s="109" customFormat="1" x14ac:dyDescent="0.3">
      <c r="B102" s="2">
        <v>3</v>
      </c>
      <c r="C102" s="195" t="s">
        <v>116</v>
      </c>
      <c r="D102" s="195"/>
      <c r="E102" s="195"/>
      <c r="F102" s="60">
        <f>F62</f>
        <v>104.17</v>
      </c>
    </row>
    <row r="103" spans="2:6" s="109" customFormat="1" x14ac:dyDescent="0.3">
      <c r="B103" s="2">
        <v>4</v>
      </c>
      <c r="C103" s="196" t="s">
        <v>189</v>
      </c>
      <c r="D103" s="196"/>
      <c r="E103" s="196"/>
      <c r="F103" s="38">
        <f>F73+F78</f>
        <v>792.96</v>
      </c>
    </row>
    <row r="104" spans="2:6" s="109" customFormat="1" x14ac:dyDescent="0.3">
      <c r="B104" s="2">
        <v>5</v>
      </c>
      <c r="C104" s="195" t="s">
        <v>84</v>
      </c>
      <c r="D104" s="195"/>
      <c r="E104" s="195"/>
      <c r="F104" s="60">
        <f>F86</f>
        <v>209.55</v>
      </c>
    </row>
    <row r="105" spans="2:6" s="109" customFormat="1" x14ac:dyDescent="0.3">
      <c r="B105" s="2">
        <v>6</v>
      </c>
      <c r="C105" s="196" t="s">
        <v>91</v>
      </c>
      <c r="D105" s="196"/>
      <c r="E105" s="196"/>
      <c r="F105" s="38">
        <f>F96</f>
        <v>1748.17</v>
      </c>
    </row>
    <row r="106" spans="2:6" ht="16.5" customHeight="1" x14ac:dyDescent="0.3">
      <c r="B106" s="199" t="s">
        <v>190</v>
      </c>
      <c r="C106" s="199"/>
      <c r="D106" s="199"/>
      <c r="E106" s="199"/>
      <c r="F106" s="39">
        <f>SUM(F100:F105)</f>
        <v>10175.379999999999</v>
      </c>
    </row>
    <row r="107" spans="2:6" ht="16.5" customHeight="1" x14ac:dyDescent="0.3">
      <c r="B107" s="199" t="s">
        <v>191</v>
      </c>
      <c r="C107" s="199"/>
      <c r="D107" s="199"/>
      <c r="E107" s="199"/>
      <c r="F107" s="39">
        <f>F106*F21</f>
        <v>10175.379999999999</v>
      </c>
    </row>
    <row r="108" spans="2:6" x14ac:dyDescent="0.3">
      <c r="B108" s="24"/>
      <c r="C108" s="18"/>
      <c r="D108" s="18"/>
      <c r="E108" s="18"/>
      <c r="F108" s="25"/>
    </row>
    <row r="109" spans="2:6" x14ac:dyDescent="0.3">
      <c r="B109" s="16" t="s">
        <v>192</v>
      </c>
    </row>
  </sheetData>
  <mergeCells count="88">
    <mergeCell ref="C104:E104"/>
    <mergeCell ref="C105:E105"/>
    <mergeCell ref="B106:E106"/>
    <mergeCell ref="B107:E107"/>
    <mergeCell ref="B96:E96"/>
    <mergeCell ref="C99:E99"/>
    <mergeCell ref="C100:E100"/>
    <mergeCell ref="C101:E101"/>
    <mergeCell ref="C102:E102"/>
    <mergeCell ref="C103:E103"/>
    <mergeCell ref="C95:D95"/>
    <mergeCell ref="C83:E83"/>
    <mergeCell ref="C84:E84"/>
    <mergeCell ref="C85:E85"/>
    <mergeCell ref="B86:E86"/>
    <mergeCell ref="B88:F88"/>
    <mergeCell ref="C89:D89"/>
    <mergeCell ref="C90:D90"/>
    <mergeCell ref="C91:D91"/>
    <mergeCell ref="C92:D92"/>
    <mergeCell ref="C93:D93"/>
    <mergeCell ref="C94:D94"/>
    <mergeCell ref="C82:E82"/>
    <mergeCell ref="B62:E62"/>
    <mergeCell ref="C66:D66"/>
    <mergeCell ref="C67:D67"/>
    <mergeCell ref="C68:D68"/>
    <mergeCell ref="C69:D69"/>
    <mergeCell ref="C70:D70"/>
    <mergeCell ref="C71:D71"/>
    <mergeCell ref="C72:D72"/>
    <mergeCell ref="B73:E73"/>
    <mergeCell ref="B78:E78"/>
    <mergeCell ref="C81:E81"/>
    <mergeCell ref="C61:D61"/>
    <mergeCell ref="B47:E47"/>
    <mergeCell ref="C49:E49"/>
    <mergeCell ref="C50:E50"/>
    <mergeCell ref="C51:E51"/>
    <mergeCell ref="C52:E52"/>
    <mergeCell ref="C53:E53"/>
    <mergeCell ref="C54:E54"/>
    <mergeCell ref="B55:E55"/>
    <mergeCell ref="C58:D58"/>
    <mergeCell ref="C59:D59"/>
    <mergeCell ref="C60:D60"/>
    <mergeCell ref="C46:D46"/>
    <mergeCell ref="C35:D35"/>
    <mergeCell ref="B36:E36"/>
    <mergeCell ref="B37:F37"/>
    <mergeCell ref="C38:D38"/>
    <mergeCell ref="C39:D39"/>
    <mergeCell ref="C40:D40"/>
    <mergeCell ref="C41:D41"/>
    <mergeCell ref="C42:D42"/>
    <mergeCell ref="C43:D43"/>
    <mergeCell ref="C44:D44"/>
    <mergeCell ref="C45:D45"/>
    <mergeCell ref="C34:D34"/>
    <mergeCell ref="C18:E18"/>
    <mergeCell ref="B20:F20"/>
    <mergeCell ref="B21:E21"/>
    <mergeCell ref="C23:E23"/>
    <mergeCell ref="C24:E24"/>
    <mergeCell ref="C25:E25"/>
    <mergeCell ref="C26:E26"/>
    <mergeCell ref="C27:E27"/>
    <mergeCell ref="C28:E28"/>
    <mergeCell ref="B29:E29"/>
    <mergeCell ref="C33:D33"/>
    <mergeCell ref="D17:F17"/>
    <mergeCell ref="B6:C6"/>
    <mergeCell ref="D6:E6"/>
    <mergeCell ref="B7:F7"/>
    <mergeCell ref="C8:E8"/>
    <mergeCell ref="D9:F9"/>
    <mergeCell ref="C10:E10"/>
    <mergeCell ref="C11:E11"/>
    <mergeCell ref="C12:E12"/>
    <mergeCell ref="C15:D15"/>
    <mergeCell ref="E15:F15"/>
    <mergeCell ref="D16:F16"/>
    <mergeCell ref="B1:F1"/>
    <mergeCell ref="B2:D2"/>
    <mergeCell ref="B3:F3"/>
    <mergeCell ref="B4:F4"/>
    <mergeCell ref="B5:C5"/>
    <mergeCell ref="D5:F5"/>
  </mergeCells>
  <pageMargins left="0.511811024" right="0.511811024" top="0.78740157499999996" bottom="0.78740157499999996" header="0.31496062000000002" footer="0.31496062000000002"/>
  <pageSetup paperSize="9"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30"/>
  <sheetViews>
    <sheetView tabSelected="1" zoomScaleNormal="100" zoomScaleSheetLayoutView="100" workbookViewId="0">
      <selection activeCell="B16" sqref="B16"/>
    </sheetView>
  </sheetViews>
  <sheetFormatPr defaultColWidth="9.140625" defaultRowHeight="14.25" x14ac:dyDescent="0.25"/>
  <cols>
    <col min="1" max="1" width="1.7109375" style="113" customWidth="1"/>
    <col min="2" max="2" width="6" style="113" customWidth="1"/>
    <col min="3" max="3" width="36.85546875" style="113" customWidth="1"/>
    <col min="4" max="4" width="16.28515625" style="113" customWidth="1"/>
    <col min="5" max="5" width="16.140625" style="113" customWidth="1"/>
    <col min="6" max="6" width="15.7109375" style="113" customWidth="1"/>
    <col min="7" max="7" width="18.85546875" style="113" customWidth="1"/>
    <col min="8" max="16384" width="9.140625" style="113"/>
  </cols>
  <sheetData>
    <row r="1" spans="2:7" s="16" customFormat="1" ht="20.25" x14ac:dyDescent="0.35">
      <c r="B1" s="222" t="str">
        <f>RAMO</f>
        <v>RAMO: ESCOLA SUPERIOR DO MINISTÉRIO PÚBLICO DA UNIÃO</v>
      </c>
      <c r="C1" s="223"/>
      <c r="D1" s="223"/>
      <c r="E1" s="223"/>
      <c r="F1" s="224"/>
    </row>
    <row r="2" spans="2:7" s="16" customFormat="1" ht="20.25" x14ac:dyDescent="0.35">
      <c r="B2" s="225" t="str">
        <f>UG</f>
        <v>UNIDADE GESTORA (SIGLA): ESMPU</v>
      </c>
      <c r="C2" s="226"/>
      <c r="D2" s="227"/>
      <c r="E2" s="111" t="s">
        <v>2</v>
      </c>
      <c r="F2" s="112" t="str">
        <f>DATA_APRESENTACAO_PROPOSTA</f>
        <v>XX/XX/20XX</v>
      </c>
    </row>
    <row r="3" spans="2:7" s="16" customFormat="1" ht="8.25" customHeight="1" x14ac:dyDescent="0.3">
      <c r="B3" s="99"/>
      <c r="C3" s="99"/>
      <c r="D3" s="99"/>
      <c r="E3" s="99"/>
      <c r="F3" s="99"/>
    </row>
    <row r="4" spans="2:7" s="16" customFormat="1" ht="20.25" x14ac:dyDescent="0.3">
      <c r="B4" s="252" t="s">
        <v>198</v>
      </c>
      <c r="C4" s="252"/>
      <c r="D4" s="252"/>
      <c r="E4" s="252"/>
      <c r="F4" s="252"/>
      <c r="G4" s="252"/>
    </row>
    <row r="5" spans="2:7" s="16" customFormat="1" ht="57.75" customHeight="1" x14ac:dyDescent="0.3">
      <c r="B5" s="1" t="s">
        <v>199</v>
      </c>
      <c r="C5" s="3" t="s">
        <v>29</v>
      </c>
      <c r="D5" s="2" t="s">
        <v>200</v>
      </c>
      <c r="E5" s="2" t="s">
        <v>201</v>
      </c>
      <c r="F5" s="2" t="s">
        <v>202</v>
      </c>
      <c r="G5" s="4" t="s">
        <v>203</v>
      </c>
    </row>
    <row r="6" spans="2:7" s="16" customFormat="1" ht="16.5" x14ac:dyDescent="0.3">
      <c r="B6" s="1" t="s">
        <v>204</v>
      </c>
      <c r="C6" s="76" t="str">
        <f>POSTO_12X36_DIU</f>
        <v>Vigilância 12x36 horas - diurno</v>
      </c>
      <c r="D6" s="8" t="str">
        <f>IF(LOCAL_DE_EXECUCAO="","",LOCAL_DE_EXECUCAO)</f>
        <v>Sede da ESMPU</v>
      </c>
      <c r="E6" s="8">
        <f>IF(QTDE_DE_POSTOS_12X36_DIU=0,"",QTDE_DE_POSTOS_12X36_DIU)</f>
        <v>2</v>
      </c>
      <c r="F6" s="9">
        <f>'POSTO 12x36 HORAS - DIURNO'!F103</f>
        <v>17133.88</v>
      </c>
      <c r="G6" s="10">
        <f>IF(QTDE_DE_POSTOS_12X36_DIU=0,"",E6*F6)</f>
        <v>34267.760000000002</v>
      </c>
    </row>
    <row r="7" spans="2:7" s="16" customFormat="1" ht="16.5" x14ac:dyDescent="0.3">
      <c r="B7" s="2" t="s">
        <v>205</v>
      </c>
      <c r="C7" s="77" t="str">
        <f>POSTO_12X36_NOT</f>
        <v>Vigilância 12x36 horas - noturno</v>
      </c>
      <c r="D7" s="11" t="str">
        <f>IF(LOCAL_DE_EXECUCAO="","",LOCAL_DE_EXECUCAO)</f>
        <v>Sede da ESMPU</v>
      </c>
      <c r="E7" s="11">
        <f>IF(QTDE_DE_POSTOS_12X36_NOT=0,"",QTDE_DE_POSTOS_12X36_NOT)</f>
        <v>1</v>
      </c>
      <c r="F7" s="12">
        <f>'POSTO 12x36 HORAS - NOTURNO'!F103</f>
        <v>20306.66</v>
      </c>
      <c r="G7" s="13">
        <f>IF(QTDE_DE_POSTOS_12X36_NOT=0,"",E7*F7)</f>
        <v>20306.66</v>
      </c>
    </row>
    <row r="8" spans="2:7" s="16" customFormat="1" ht="16.5" x14ac:dyDescent="0.3">
      <c r="B8" s="2" t="s">
        <v>206</v>
      </c>
      <c r="C8" s="76" t="str">
        <f>POSTO_44H</f>
        <v>Vigilância 44 horas semanais</v>
      </c>
      <c r="D8" s="8" t="str">
        <f>IF(LOCAL_DE_EXECUCAO="","",LOCAL_DE_EXECUCAO)</f>
        <v>Sede da ESMPU</v>
      </c>
      <c r="E8" s="8">
        <f>IF(QTDE_DE_POSTOS_44H=0,"",QTDE_DE_POSTOS_44H)</f>
        <v>4</v>
      </c>
      <c r="F8" s="9">
        <f>'POSTO 44 HORAS'!F107</f>
        <v>9122.2000000000007</v>
      </c>
      <c r="G8" s="10">
        <f>IF(QTDE_DE_POSTOS_44H=0,"",E8*F8)</f>
        <v>36488.800000000003</v>
      </c>
    </row>
    <row r="9" spans="2:7" s="16" customFormat="1" ht="16.5" x14ac:dyDescent="0.3">
      <c r="B9" s="2" t="s">
        <v>207</v>
      </c>
      <c r="C9" s="76" t="str">
        <f>'INSERÇÃO-DE-DADOS'!C22</f>
        <v>Supervisão 44 horas semanais</v>
      </c>
      <c r="D9" s="8" t="str">
        <f>IF(LOCAL_DE_EXECUCAO="","",LOCAL_DE_EXECUCAO)</f>
        <v>Sede da ESMPU</v>
      </c>
      <c r="E9" s="8">
        <f>'INSERÇÃO-DE-DADOS'!F22</f>
        <v>1</v>
      </c>
      <c r="F9" s="10">
        <f>'SUPERVISÃO 44 HORAS'!F107</f>
        <v>10175.379999999999</v>
      </c>
      <c r="G9" s="10">
        <f>IF(QTDE_DE_POSTOS_44H=0,"",E9*F9)</f>
        <v>10175.379999999999</v>
      </c>
    </row>
    <row r="10" spans="2:7" s="16" customFormat="1" ht="16.5" customHeight="1" x14ac:dyDescent="0.3">
      <c r="B10" s="185" t="s">
        <v>208</v>
      </c>
      <c r="C10" s="186"/>
      <c r="D10" s="187"/>
      <c r="E10" s="5">
        <f>IF(SUM(E6:E9)=0,"",SUM(E6:E9))</f>
        <v>8</v>
      </c>
      <c r="F10" s="6"/>
      <c r="G10" s="7">
        <f>IF(SUM(G6:G9)=0,"",SUM(G6:G9))</f>
        <v>101238.6</v>
      </c>
    </row>
    <row r="11" spans="2:7" s="16" customFormat="1" ht="16.5" customHeight="1" x14ac:dyDescent="0.3">
      <c r="B11" s="253" t="s">
        <v>209</v>
      </c>
      <c r="C11" s="253"/>
      <c r="D11" s="253"/>
      <c r="E11" s="5">
        <v>11</v>
      </c>
      <c r="F11" s="6"/>
      <c r="G11" s="7">
        <v>11</v>
      </c>
    </row>
    <row r="12" spans="2:7" s="16" customFormat="1" ht="16.5" customHeight="1" x14ac:dyDescent="0.3">
      <c r="B12" s="253" t="s">
        <v>210</v>
      </c>
      <c r="C12" s="253"/>
      <c r="D12" s="253"/>
      <c r="E12" s="5"/>
      <c r="F12" s="6"/>
      <c r="G12" s="7">
        <v>164.05</v>
      </c>
    </row>
    <row r="13" spans="2:7" s="16" customFormat="1" ht="16.5" customHeight="1" x14ac:dyDescent="0.3">
      <c r="B13" s="253" t="s">
        <v>211</v>
      </c>
      <c r="C13" s="253"/>
      <c r="D13" s="253"/>
      <c r="E13" s="5"/>
      <c r="F13" s="6"/>
      <c r="G13" s="7">
        <v>10.83</v>
      </c>
    </row>
    <row r="14" spans="2:7" s="16" customFormat="1" ht="16.5" customHeight="1" x14ac:dyDescent="0.3">
      <c r="B14" s="253" t="s">
        <v>212</v>
      </c>
      <c r="C14" s="253"/>
      <c r="D14" s="253"/>
      <c r="E14" s="5"/>
      <c r="F14" s="6"/>
      <c r="G14" s="138">
        <f>G10+((G11*(G12+G13)))</f>
        <v>103162.28</v>
      </c>
    </row>
    <row r="15" spans="2:7" s="16" customFormat="1" ht="16.5" customHeight="1" x14ac:dyDescent="0.3">
      <c r="B15" s="185" t="s">
        <v>208</v>
      </c>
      <c r="C15" s="186"/>
      <c r="D15" s="187"/>
      <c r="E15" s="5"/>
      <c r="F15" s="6"/>
      <c r="G15" s="138">
        <f>G14*12</f>
        <v>1237947.3600000001</v>
      </c>
    </row>
    <row r="17" spans="2:7" s="16" customFormat="1" ht="20.25" x14ac:dyDescent="0.3">
      <c r="B17" s="92" t="s">
        <v>213</v>
      </c>
      <c r="C17" s="92"/>
      <c r="D17" s="92"/>
      <c r="E17" s="92"/>
      <c r="F17" s="92"/>
    </row>
    <row r="18" spans="2:7" ht="49.5" x14ac:dyDescent="0.25">
      <c r="B18" s="250" t="s">
        <v>214</v>
      </c>
      <c r="C18" s="251"/>
      <c r="D18" s="2" t="str">
        <f>POSTO_12X36_DIU</f>
        <v>Vigilância 12x36 horas - diurno</v>
      </c>
      <c r="E18" s="2" t="str">
        <f>POSTO_12X36_NOT</f>
        <v>Vigilância 12x36 horas - noturno</v>
      </c>
      <c r="F18" s="4" t="str">
        <f>POSTO_44H</f>
        <v>Vigilância 44 horas semanais</v>
      </c>
      <c r="G18" s="137" t="str">
        <f>'INSERÇÃO-DE-DADOS'!C22</f>
        <v>Supervisão 44 horas semanais</v>
      </c>
    </row>
    <row r="19" spans="2:7" ht="16.5" x14ac:dyDescent="0.25">
      <c r="B19" s="258" t="s">
        <v>215</v>
      </c>
      <c r="C19" s="259"/>
      <c r="D19" s="72">
        <f>'POSTO 12x36 HORAS - DIURNO'!F35+'POSTO 12x36 HORAS - DIURNO'!F46+'POSTO 12x36 HORAS - DIURNO'!F60+'POSTO 12x36 HORAS - DIURNO'!F71</f>
        <v>2590.7399999999998</v>
      </c>
      <c r="E19" s="72">
        <f>'POSTO 12x36 HORAS - NOTURNO'!F35+'POSTO 12x36 HORAS - NOTURNO'!F46+'POSTO 12x36 HORAS - NOTURNO'!F60+'POSTO 12x36 HORAS - NOTURNO'!F71</f>
        <v>2867.15</v>
      </c>
      <c r="F19" s="72">
        <f>'POSTO 44 HORAS'!F36+'POSTO 44 HORAS'!F47+'POSTO 44 HORAS'!F62+'POSTO 44 HORAS'!F73</f>
        <v>2640.93</v>
      </c>
      <c r="G19" s="72">
        <f>'SUPERVISÃO 44 HORAS'!F36+'SUPERVISÃO 44 HORAS'!F47+'SUPERVISÃO 44 HORAS'!F62+'SUPERVISÃO 44 HORAS'!F73</f>
        <v>3020.57</v>
      </c>
    </row>
    <row r="20" spans="2:7" ht="16.5" x14ac:dyDescent="0.25">
      <c r="B20" s="139" t="s">
        <v>216</v>
      </c>
      <c r="C20" s="141"/>
      <c r="D20" s="73">
        <f>'POSTO 12x36 HORAS - DIURNO'!F29</f>
        <v>3540.43</v>
      </c>
      <c r="E20" s="73">
        <f>'POSTO 12x36 HORAS - NOTURNO'!F29</f>
        <v>3931.81</v>
      </c>
      <c r="F20" s="73">
        <f>'POSTO 44 HORAS'!F29</f>
        <v>3540.43</v>
      </c>
      <c r="G20" s="73">
        <f>'SUPERVISÃO 44 HORAS'!F29</f>
        <v>4083.69</v>
      </c>
    </row>
    <row r="21" spans="2:7" ht="33.75" customHeight="1" x14ac:dyDescent="0.25">
      <c r="B21" s="214" t="s">
        <v>217</v>
      </c>
      <c r="C21" s="215"/>
      <c r="D21" s="71">
        <f>IF(IFERROR(D19/D20,0)=0,"",IFERROR(D19/D20,0))</f>
        <v>0.73180000000000001</v>
      </c>
      <c r="E21" s="71">
        <f>IF(IFERROR(E19/E20,0)=0,"",IFERROR(E19/E20,0))</f>
        <v>0.72919999999999996</v>
      </c>
      <c r="F21" s="71">
        <f>IF(IFERROR(F19/F20,0)=0,"",IFERROR(F19/F20,0))</f>
        <v>0.74590000000000001</v>
      </c>
      <c r="G21" s="71">
        <f>IF(IFERROR(G19/G20,0)=0,"",IFERROR(G19/G20,0))</f>
        <v>0.73970000000000002</v>
      </c>
    </row>
    <row r="22" spans="2:7" x14ac:dyDescent="0.25">
      <c r="B22" s="114" t="s">
        <v>218</v>
      </c>
      <c r="C22" s="114"/>
      <c r="D22" s="114"/>
    </row>
    <row r="24" spans="2:7" s="16" customFormat="1" ht="20.25" x14ac:dyDescent="0.3">
      <c r="B24" s="92" t="s">
        <v>219</v>
      </c>
      <c r="C24" s="92"/>
      <c r="D24" s="92"/>
      <c r="E24" s="92"/>
      <c r="F24" s="92"/>
    </row>
    <row r="25" spans="2:7" ht="49.5" x14ac:dyDescent="0.25">
      <c r="B25" s="250" t="s">
        <v>214</v>
      </c>
      <c r="C25" s="251"/>
      <c r="D25" s="2" t="str">
        <f>POSTO_12X36_DIU</f>
        <v>Vigilância 12x36 horas - diurno</v>
      </c>
      <c r="E25" s="2" t="str">
        <f>POSTO_12X36_NOT</f>
        <v>Vigilância 12x36 horas - noturno</v>
      </c>
      <c r="F25" s="4" t="str">
        <f>POSTO_44H</f>
        <v>Vigilância 44 horas semanais</v>
      </c>
      <c r="G25" s="137" t="str">
        <f>'INSERÇÃO-DE-DADOS'!C22</f>
        <v>Supervisão 44 horas semanais</v>
      </c>
    </row>
    <row r="26" spans="2:7" s="114" customFormat="1" ht="16.5" x14ac:dyDescent="0.25">
      <c r="B26" s="254" t="s">
        <v>220</v>
      </c>
      <c r="C26" s="255"/>
      <c r="D26" s="10">
        <f>'POSTO 12x36 HORAS - DIURNO'!F103</f>
        <v>17133.88</v>
      </c>
      <c r="E26" s="10">
        <f>'POSTO 12x36 HORAS - NOTURNO'!F103</f>
        <v>20306.66</v>
      </c>
      <c r="F26" s="10">
        <f>'POSTO 44 HORAS'!F107</f>
        <v>9122.2000000000007</v>
      </c>
      <c r="G26" s="72">
        <f>'SUPERVISÃO 44 HORAS'!F107</f>
        <v>10175.379999999999</v>
      </c>
    </row>
    <row r="27" spans="2:7" ht="33" customHeight="1" x14ac:dyDescent="0.25">
      <c r="B27" s="256" t="s">
        <v>221</v>
      </c>
      <c r="C27" s="257"/>
      <c r="D27" s="13">
        <v>15420.95</v>
      </c>
      <c r="E27" s="13">
        <v>18267.7</v>
      </c>
      <c r="F27" s="13">
        <v>8561.0400000000009</v>
      </c>
      <c r="G27" s="13">
        <v>8561.0400000000009</v>
      </c>
    </row>
    <row r="28" spans="2:7" ht="70.5" customHeight="1" x14ac:dyDescent="0.25">
      <c r="B28" s="214" t="s">
        <v>222</v>
      </c>
      <c r="C28" s="215"/>
      <c r="D28" s="71" t="str">
        <f>IF(D26="","Não se aplica.",IF(D27&lt;=D26,"SIM, está em conformidade.", "NÃO, é inferior."))</f>
        <v>SIM, está em conformidade.</v>
      </c>
      <c r="E28" s="71" t="str">
        <f>IF(E26="","Não se aplica.",IF(E27&lt;=E26,"SIM, está em conformidade.", "NÃO, é inferior."))</f>
        <v>SIM, está em conformidade.</v>
      </c>
      <c r="F28" s="71" t="str">
        <f>IF(F26="","Não se aplica.",IF(F27&lt;=F26,"SIM, está em conformidade.", "NÃO, é inferior."))</f>
        <v>SIM, está em conformidade.</v>
      </c>
      <c r="G28" s="71" t="str">
        <f>IF(G26="","Não se aplica.",IF(G27&lt;=G26,"SIM, está em conformidade.", "NÃO, é inferior."))</f>
        <v>SIM, está em conformidade.</v>
      </c>
    </row>
    <row r="29" spans="2:7" ht="34.5" customHeight="1" x14ac:dyDescent="0.25">
      <c r="B29" s="260" t="s">
        <v>223</v>
      </c>
      <c r="C29" s="261"/>
      <c r="D29" s="59">
        <v>16773.12</v>
      </c>
      <c r="E29" s="59">
        <v>19872.13</v>
      </c>
      <c r="F29" s="59">
        <v>9405.76</v>
      </c>
      <c r="G29" s="59">
        <v>9405.76</v>
      </c>
    </row>
    <row r="30" spans="2:7" ht="69.75" customHeight="1" x14ac:dyDescent="0.25">
      <c r="B30" s="214" t="s">
        <v>224</v>
      </c>
      <c r="C30" s="215"/>
      <c r="D30" s="71" t="str">
        <f>IF(D26="","Não se aplica.",IF(D29&lt;=D28,"SIM, está em conformidade.", "NÃO, é inferior."))</f>
        <v>SIM, está em conformidade.</v>
      </c>
      <c r="E30" s="71" t="str">
        <f>IF(E26="","Não se aplica.",IF(E29&lt;=E28,"SIM, está em conformidade.", "NÃO, é inferior."))</f>
        <v>SIM, está em conformidade.</v>
      </c>
      <c r="F30" s="71" t="str">
        <f>IF(F26="","Não se aplica.",IF(F29&lt;=F28,"SIM, está em conformidade.", "NÃO, é inferior."))</f>
        <v>SIM, está em conformidade.</v>
      </c>
      <c r="G30" s="71" t="str">
        <f>IF(G26="","Não se aplica.",IF(G29&lt;=G28,"SIM, está em conformidade.", "NÃO, é inferior."))</f>
        <v>SIM, está em conformidade.</v>
      </c>
    </row>
  </sheetData>
  <customSheetViews>
    <customSheetView guid="{E22B0E03-E710-4313-B9E5-0BFE52A7E677}" showPageBreaks="1" view="pageBreakPreview">
      <selection activeCell="C12" sqref="C12"/>
      <pageMargins left="0" right="0" top="0" bottom="0" header="0" footer="0"/>
      <printOptions horizontalCentered="1"/>
      <pageSetup paperSize="9" orientation="portrait" r:id="rId1"/>
    </customSheetView>
  </customSheetViews>
  <mergeCells count="19">
    <mergeCell ref="B25:C25"/>
    <mergeCell ref="B26:C26"/>
    <mergeCell ref="B27:C27"/>
    <mergeCell ref="B30:C30"/>
    <mergeCell ref="B19:C19"/>
    <mergeCell ref="B20:C20"/>
    <mergeCell ref="B21:C21"/>
    <mergeCell ref="B29:C29"/>
    <mergeCell ref="B28:C28"/>
    <mergeCell ref="B1:F1"/>
    <mergeCell ref="B2:D2"/>
    <mergeCell ref="B10:D10"/>
    <mergeCell ref="B18:C18"/>
    <mergeCell ref="B4:G4"/>
    <mergeCell ref="B11:D11"/>
    <mergeCell ref="B12:D12"/>
    <mergeCell ref="B13:D13"/>
    <mergeCell ref="B14:D14"/>
    <mergeCell ref="B15:D15"/>
  </mergeCells>
  <printOptions horizontalCentered="1"/>
  <pageMargins left="0.17" right="0.17" top="0.47" bottom="0.78740157480314965" header="0.31496062992125984" footer="0.31496062992125984"/>
  <pageSetup paperSize="9" scale="92" orientation="portrait" r:id="rId2"/>
  <ignoredErrors>
    <ignoredError sqref="B1:F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5"/>
  <sheetViews>
    <sheetView topLeftCell="A4" workbookViewId="0">
      <selection activeCell="M22" sqref="M22"/>
    </sheetView>
  </sheetViews>
  <sheetFormatPr defaultColWidth="9.140625" defaultRowHeight="16.5" x14ac:dyDescent="0.3"/>
  <cols>
    <col min="1" max="1" width="9.140625" style="75"/>
    <col min="2" max="2" width="13.5703125" style="75" customWidth="1"/>
    <col min="3" max="4" width="14.140625" style="75" customWidth="1"/>
    <col min="5" max="8" width="13.28515625" style="75" customWidth="1"/>
    <col min="9" max="16384" width="9.140625" style="75"/>
  </cols>
  <sheetData>
    <row r="1" spans="1:11" x14ac:dyDescent="0.3">
      <c r="H1" s="85" t="s">
        <v>225</v>
      </c>
    </row>
    <row r="2" spans="1:11" ht="15" customHeight="1" x14ac:dyDescent="0.3">
      <c r="A2" s="264" t="s">
        <v>226</v>
      </c>
      <c r="B2" s="273" t="s">
        <v>227</v>
      </c>
      <c r="C2" s="267" t="str">
        <f>POSTO_12X36_DIU</f>
        <v>Vigilância 12x36 horas - diurno</v>
      </c>
      <c r="D2" s="268"/>
      <c r="E2" s="271" t="str">
        <f>POSTO_12X36_NOT</f>
        <v>Vigilância 12x36 horas - noturno</v>
      </c>
      <c r="F2" s="268"/>
      <c r="G2" s="271" t="str">
        <f>POSTO_44H</f>
        <v>Vigilância 44 horas semanais</v>
      </c>
      <c r="H2" s="268"/>
    </row>
    <row r="3" spans="1:11" x14ac:dyDescent="0.3">
      <c r="A3" s="265"/>
      <c r="B3" s="274"/>
      <c r="C3" s="269"/>
      <c r="D3" s="270"/>
      <c r="E3" s="272"/>
      <c r="F3" s="270"/>
      <c r="G3" s="272"/>
      <c r="H3" s="270"/>
    </row>
    <row r="4" spans="1:11" ht="30.75" customHeight="1" x14ac:dyDescent="0.3">
      <c r="A4" s="266"/>
      <c r="B4" s="275"/>
      <c r="C4" s="84" t="s">
        <v>228</v>
      </c>
      <c r="D4" s="84" t="s">
        <v>229</v>
      </c>
      <c r="E4" s="84" t="s">
        <v>228</v>
      </c>
      <c r="F4" s="84" t="s">
        <v>229</v>
      </c>
      <c r="G4" s="84" t="s">
        <v>228</v>
      </c>
      <c r="H4" s="84" t="s">
        <v>229</v>
      </c>
    </row>
    <row r="5" spans="1:11" x14ac:dyDescent="0.3">
      <c r="A5" s="1" t="s">
        <v>230</v>
      </c>
      <c r="B5" s="91">
        <v>43805</v>
      </c>
      <c r="C5" s="10">
        <v>8597.41</v>
      </c>
      <c r="D5" s="10">
        <v>9342.48</v>
      </c>
      <c r="E5" s="10">
        <v>10191.24</v>
      </c>
      <c r="F5" s="10">
        <v>11075.61</v>
      </c>
      <c r="G5" s="10">
        <v>4829.51</v>
      </c>
      <c r="H5" s="10">
        <v>5301.05</v>
      </c>
    </row>
    <row r="6" spans="1:11" x14ac:dyDescent="0.3">
      <c r="A6" s="1" t="s">
        <v>231</v>
      </c>
      <c r="B6" s="91">
        <v>43690</v>
      </c>
      <c r="C6" s="13">
        <v>8111.4</v>
      </c>
      <c r="D6" s="13">
        <v>8815.7800000000007</v>
      </c>
      <c r="E6" s="13">
        <v>9145.9500000000007</v>
      </c>
      <c r="F6" s="13">
        <v>9940.84</v>
      </c>
      <c r="G6" s="13">
        <v>4456.3100000000004</v>
      </c>
      <c r="H6" s="13">
        <v>4892.59</v>
      </c>
    </row>
    <row r="7" spans="1:11" x14ac:dyDescent="0.3">
      <c r="A7" s="1" t="s">
        <v>232</v>
      </c>
      <c r="B7" s="91">
        <v>43805</v>
      </c>
      <c r="C7" s="10">
        <v>9315.82</v>
      </c>
      <c r="D7" s="10">
        <v>10127.92</v>
      </c>
      <c r="E7" s="10">
        <v>11217.83</v>
      </c>
      <c r="F7" s="10">
        <v>12197.44</v>
      </c>
      <c r="G7" s="10">
        <v>5141.26</v>
      </c>
      <c r="H7" s="10">
        <v>5646.04</v>
      </c>
    </row>
    <row r="8" spans="1:11" x14ac:dyDescent="0.3">
      <c r="A8" s="1" t="s">
        <v>233</v>
      </c>
      <c r="B8" s="91">
        <v>43207</v>
      </c>
      <c r="C8" s="13">
        <v>10997.4</v>
      </c>
      <c r="D8" s="13">
        <v>11939.6</v>
      </c>
      <c r="E8" s="13">
        <v>13109.73</v>
      </c>
      <c r="F8" s="13">
        <v>14233.8</v>
      </c>
      <c r="G8" s="13">
        <v>6073.35</v>
      </c>
      <c r="H8" s="13">
        <v>6660.79</v>
      </c>
    </row>
    <row r="9" spans="1:11" x14ac:dyDescent="0.3">
      <c r="A9" s="1" t="s">
        <v>234</v>
      </c>
      <c r="B9" s="91">
        <v>43461</v>
      </c>
      <c r="C9" s="10">
        <v>7937.26</v>
      </c>
      <c r="D9" s="10">
        <v>8619.73</v>
      </c>
      <c r="E9" s="10">
        <v>10244.790000000001</v>
      </c>
      <c r="F9" s="10">
        <v>11126.33</v>
      </c>
      <c r="G9" s="10">
        <v>4311.59</v>
      </c>
      <c r="H9" s="10">
        <v>4730.09</v>
      </c>
    </row>
    <row r="10" spans="1:11" x14ac:dyDescent="0.3">
      <c r="A10" s="1" t="s">
        <v>235</v>
      </c>
      <c r="B10" s="91">
        <v>43643</v>
      </c>
      <c r="C10" s="13">
        <v>9375.2099999999991</v>
      </c>
      <c r="D10" s="13">
        <v>10191.74</v>
      </c>
      <c r="E10" s="13">
        <v>11317.42</v>
      </c>
      <c r="F10" s="13">
        <v>12304.64</v>
      </c>
      <c r="G10" s="13">
        <v>5213.41</v>
      </c>
      <c r="H10" s="13">
        <v>5724.81</v>
      </c>
    </row>
    <row r="11" spans="1:11" x14ac:dyDescent="0.3">
      <c r="A11" s="1" t="s">
        <v>21</v>
      </c>
      <c r="B11" s="91">
        <v>42595</v>
      </c>
      <c r="C11" s="10">
        <v>15100.54</v>
      </c>
      <c r="D11" s="10">
        <v>16201.63</v>
      </c>
      <c r="E11" s="10">
        <v>16451.59</v>
      </c>
      <c r="F11" s="10">
        <v>18025.95</v>
      </c>
      <c r="G11" s="10">
        <v>7914.2</v>
      </c>
      <c r="H11" s="10">
        <v>8522.8700000000008</v>
      </c>
    </row>
    <row r="12" spans="1:11" x14ac:dyDescent="0.3">
      <c r="A12" s="1" t="s">
        <v>236</v>
      </c>
      <c r="B12" s="91">
        <v>43207</v>
      </c>
      <c r="C12" s="13">
        <v>10354.98</v>
      </c>
      <c r="D12" s="13">
        <v>11246.17</v>
      </c>
      <c r="E12" s="13">
        <v>12367.31</v>
      </c>
      <c r="F12" s="13">
        <v>13433.22</v>
      </c>
      <c r="G12" s="13">
        <v>5677.47</v>
      </c>
      <c r="H12" s="13">
        <v>6228.76</v>
      </c>
    </row>
    <row r="13" spans="1:11" x14ac:dyDescent="0.3">
      <c r="A13" s="1" t="s">
        <v>237</v>
      </c>
      <c r="B13" s="91">
        <v>43643</v>
      </c>
      <c r="C13" s="10">
        <v>9839.65</v>
      </c>
      <c r="D13" s="10">
        <v>10701.94</v>
      </c>
      <c r="E13" s="10">
        <v>10856.17</v>
      </c>
      <c r="F13" s="10">
        <v>11808.22</v>
      </c>
      <c r="G13" s="10">
        <v>5443.98</v>
      </c>
      <c r="H13" s="10">
        <v>5980.98</v>
      </c>
    </row>
    <row r="14" spans="1:11" x14ac:dyDescent="0.3">
      <c r="A14" s="1" t="s">
        <v>238</v>
      </c>
      <c r="B14" s="91">
        <v>43805</v>
      </c>
      <c r="C14" s="13">
        <v>8291.56</v>
      </c>
      <c r="D14" s="13">
        <v>9008.01</v>
      </c>
      <c r="E14" s="13">
        <v>9889.77</v>
      </c>
      <c r="F14" s="13">
        <v>10745.13</v>
      </c>
      <c r="G14" s="13">
        <v>4586.6499999999996</v>
      </c>
      <c r="H14" s="13">
        <v>5033.6400000000003</v>
      </c>
    </row>
    <row r="15" spans="1:11" x14ac:dyDescent="0.3">
      <c r="A15" s="1" t="s">
        <v>239</v>
      </c>
      <c r="B15" s="91">
        <v>43690</v>
      </c>
      <c r="C15" s="10">
        <v>12397.9</v>
      </c>
      <c r="D15" s="10">
        <v>13479.96</v>
      </c>
      <c r="E15" s="10">
        <v>14886.74</v>
      </c>
      <c r="F15" s="10">
        <v>16188.01</v>
      </c>
      <c r="G15" s="10">
        <v>6780.84</v>
      </c>
      <c r="H15" s="10">
        <v>7447.73</v>
      </c>
      <c r="K15" s="134"/>
    </row>
    <row r="16" spans="1:11" x14ac:dyDescent="0.3">
      <c r="A16" s="1" t="s">
        <v>240</v>
      </c>
      <c r="B16" s="91">
        <v>43349</v>
      </c>
      <c r="C16" s="13">
        <v>9332.23</v>
      </c>
      <c r="D16" s="13">
        <v>10140.01</v>
      </c>
      <c r="E16" s="13">
        <v>11068.79</v>
      </c>
      <c r="F16" s="13">
        <v>12028.09</v>
      </c>
      <c r="G16" s="13">
        <v>5192.12</v>
      </c>
      <c r="H16" s="13">
        <v>5698.6</v>
      </c>
      <c r="K16" s="133"/>
    </row>
    <row r="17" spans="1:11" x14ac:dyDescent="0.3">
      <c r="A17" s="1" t="s">
        <v>241</v>
      </c>
      <c r="B17" s="91">
        <v>43643</v>
      </c>
      <c r="C17" s="10">
        <v>8915.7999999999993</v>
      </c>
      <c r="D17" s="10">
        <v>9697.58</v>
      </c>
      <c r="E17" s="10">
        <v>10517.71</v>
      </c>
      <c r="F17" s="10">
        <v>11441.67</v>
      </c>
      <c r="G17" s="10">
        <v>4954.66</v>
      </c>
      <c r="H17" s="10">
        <v>5443.52</v>
      </c>
      <c r="K17" s="134"/>
    </row>
    <row r="18" spans="1:11" x14ac:dyDescent="0.3">
      <c r="A18" s="1" t="s">
        <v>242</v>
      </c>
      <c r="B18" s="91">
        <v>43761</v>
      </c>
      <c r="C18" s="13">
        <v>9587.27</v>
      </c>
      <c r="D18" s="13">
        <v>10426.1</v>
      </c>
      <c r="E18" s="13">
        <v>11450.32</v>
      </c>
      <c r="F18" s="13">
        <v>12453.27</v>
      </c>
      <c r="G18" s="13">
        <v>5218.6099999999997</v>
      </c>
      <c r="H18" s="13">
        <v>5732.86</v>
      </c>
      <c r="K18" s="133"/>
    </row>
    <row r="19" spans="1:11" x14ac:dyDescent="0.3">
      <c r="A19" s="1" t="s">
        <v>243</v>
      </c>
      <c r="B19" s="91">
        <v>43690</v>
      </c>
      <c r="C19" s="10">
        <v>7417.46</v>
      </c>
      <c r="D19" s="10">
        <v>8070.34</v>
      </c>
      <c r="E19" s="10">
        <v>8845.77</v>
      </c>
      <c r="F19" s="10">
        <v>9625.39</v>
      </c>
      <c r="G19" s="10">
        <v>4105.37</v>
      </c>
      <c r="H19" s="10">
        <v>4511.84</v>
      </c>
      <c r="K19" s="134"/>
    </row>
    <row r="20" spans="1:11" x14ac:dyDescent="0.3">
      <c r="A20" s="1" t="s">
        <v>244</v>
      </c>
      <c r="B20" s="91">
        <v>43805</v>
      </c>
      <c r="C20" s="13">
        <v>8783.67</v>
      </c>
      <c r="D20" s="13">
        <v>9552</v>
      </c>
      <c r="E20" s="13">
        <v>10376.83</v>
      </c>
      <c r="F20" s="13">
        <v>11286.12</v>
      </c>
      <c r="G20" s="13">
        <v>4943.93</v>
      </c>
      <c r="H20" s="13">
        <v>5430.41</v>
      </c>
      <c r="K20" s="133"/>
    </row>
    <row r="21" spans="1:11" x14ac:dyDescent="0.3">
      <c r="A21" s="1" t="s">
        <v>245</v>
      </c>
      <c r="B21" s="91">
        <v>42989</v>
      </c>
      <c r="C21" s="10">
        <v>8677.7800000000007</v>
      </c>
      <c r="D21" s="10">
        <v>9501.3700000000008</v>
      </c>
      <c r="E21" s="10">
        <v>12066.94</v>
      </c>
      <c r="F21" s="10">
        <v>14172.44</v>
      </c>
      <c r="G21" s="10">
        <v>4448.13</v>
      </c>
      <c r="H21" s="10">
        <v>4889.71</v>
      </c>
    </row>
    <row r="22" spans="1:11" x14ac:dyDescent="0.3">
      <c r="A22" s="1" t="s">
        <v>246</v>
      </c>
      <c r="B22" s="91">
        <v>43643</v>
      </c>
      <c r="C22" s="13">
        <v>12261.66</v>
      </c>
      <c r="D22" s="13">
        <v>13340.87</v>
      </c>
      <c r="E22" s="13">
        <v>14577.88</v>
      </c>
      <c r="F22" s="13">
        <v>15862.82</v>
      </c>
      <c r="G22" s="13">
        <v>6768.04</v>
      </c>
      <c r="H22" s="13">
        <v>7438.22</v>
      </c>
    </row>
    <row r="23" spans="1:11" x14ac:dyDescent="0.3">
      <c r="A23" s="1" t="s">
        <v>247</v>
      </c>
      <c r="B23" s="91">
        <v>43287</v>
      </c>
      <c r="C23" s="10">
        <v>9779.4599999999991</v>
      </c>
      <c r="D23" s="10">
        <v>10630.1</v>
      </c>
      <c r="E23" s="10">
        <v>11676</v>
      </c>
      <c r="F23" s="10">
        <v>12692.64</v>
      </c>
      <c r="G23" s="10">
        <v>5371.45</v>
      </c>
      <c r="H23" s="10">
        <v>5897.91</v>
      </c>
    </row>
    <row r="24" spans="1:11" x14ac:dyDescent="0.3">
      <c r="A24" s="1" t="s">
        <v>248</v>
      </c>
      <c r="B24" s="91">
        <v>43643</v>
      </c>
      <c r="C24" s="13">
        <v>9400.85</v>
      </c>
      <c r="D24" s="13">
        <v>10228.959999999999</v>
      </c>
      <c r="E24" s="13">
        <v>11261.97</v>
      </c>
      <c r="F24" s="13">
        <v>12255.04</v>
      </c>
      <c r="G24" s="13">
        <v>5144.09</v>
      </c>
      <c r="H24" s="13">
        <v>5654.09</v>
      </c>
    </row>
    <row r="25" spans="1:11" x14ac:dyDescent="0.3">
      <c r="A25" s="1" t="s">
        <v>249</v>
      </c>
      <c r="B25" s="91">
        <v>43287</v>
      </c>
      <c r="C25" s="10">
        <v>9176.75</v>
      </c>
      <c r="D25" s="10">
        <v>9972.15</v>
      </c>
      <c r="E25" s="10">
        <v>10170.83</v>
      </c>
      <c r="F25" s="10">
        <v>11053.19</v>
      </c>
      <c r="G25" s="10">
        <v>5148.58</v>
      </c>
      <c r="H25" s="10">
        <v>5651.21</v>
      </c>
    </row>
    <row r="26" spans="1:11" x14ac:dyDescent="0.3">
      <c r="A26" s="1" t="s">
        <v>250</v>
      </c>
      <c r="B26" s="91">
        <v>43280</v>
      </c>
      <c r="C26" s="13">
        <v>7408.92</v>
      </c>
      <c r="D26" s="13">
        <v>8049.8</v>
      </c>
      <c r="E26" s="13">
        <v>8792.52</v>
      </c>
      <c r="F26" s="13">
        <v>9554.01</v>
      </c>
      <c r="G26" s="13">
        <v>4100.8599999999997</v>
      </c>
      <c r="H26" s="13">
        <v>4500.66</v>
      </c>
    </row>
    <row r="27" spans="1:11" x14ac:dyDescent="0.3">
      <c r="A27" s="1" t="s">
        <v>251</v>
      </c>
      <c r="B27" s="91">
        <v>43805</v>
      </c>
      <c r="C27" s="10">
        <v>10253.43</v>
      </c>
      <c r="D27" s="10">
        <v>11160.84</v>
      </c>
      <c r="E27" s="10">
        <v>12264.88</v>
      </c>
      <c r="F27" s="10">
        <v>13351.59</v>
      </c>
      <c r="G27" s="10">
        <v>5631.93</v>
      </c>
      <c r="H27" s="10">
        <v>6192.41</v>
      </c>
    </row>
    <row r="28" spans="1:11" x14ac:dyDescent="0.3">
      <c r="A28" s="1" t="s">
        <v>252</v>
      </c>
      <c r="B28" s="91">
        <v>43805</v>
      </c>
      <c r="C28" s="13">
        <v>9937.31</v>
      </c>
      <c r="D28" s="13">
        <v>10815.6</v>
      </c>
      <c r="E28" s="13">
        <v>11855.37</v>
      </c>
      <c r="F28" s="13">
        <v>12904.6</v>
      </c>
      <c r="G28" s="13">
        <v>5485.7</v>
      </c>
      <c r="H28" s="13">
        <v>6030.85</v>
      </c>
    </row>
    <row r="29" spans="1:11" x14ac:dyDescent="0.3">
      <c r="A29" s="1" t="s">
        <v>253</v>
      </c>
      <c r="B29" s="91">
        <v>43339</v>
      </c>
      <c r="C29" s="10">
        <v>7795.56</v>
      </c>
      <c r="D29" s="10">
        <v>8470.73</v>
      </c>
      <c r="E29" s="10">
        <v>9355.6200000000008</v>
      </c>
      <c r="F29" s="10">
        <v>10166.450000000001</v>
      </c>
      <c r="G29" s="10">
        <v>4248.05</v>
      </c>
      <c r="H29" s="10">
        <v>4663.01</v>
      </c>
    </row>
    <row r="30" spans="1:11" x14ac:dyDescent="0.3">
      <c r="A30" s="1" t="s">
        <v>254</v>
      </c>
      <c r="B30" s="91">
        <v>43593</v>
      </c>
      <c r="C30" s="13">
        <v>10689.88</v>
      </c>
      <c r="D30" s="13">
        <v>11635.82</v>
      </c>
      <c r="E30" s="13">
        <v>12766.9</v>
      </c>
      <c r="F30" s="13">
        <v>13898.1</v>
      </c>
      <c r="G30" s="13">
        <v>5893.81</v>
      </c>
      <c r="H30" s="13">
        <v>6480.16</v>
      </c>
    </row>
    <row r="31" spans="1:11" x14ac:dyDescent="0.3">
      <c r="A31" s="1" t="s">
        <v>255</v>
      </c>
      <c r="B31" s="91">
        <v>43565</v>
      </c>
      <c r="C31" s="10">
        <v>10541.15</v>
      </c>
      <c r="D31" s="10">
        <v>11454.8</v>
      </c>
      <c r="E31" s="10">
        <v>12488.13</v>
      </c>
      <c r="F31" s="10">
        <v>13571.97</v>
      </c>
      <c r="G31" s="10">
        <v>5749.12</v>
      </c>
      <c r="H31" s="10">
        <v>6311.12</v>
      </c>
    </row>
    <row r="32" spans="1:11" x14ac:dyDescent="0.3">
      <c r="A32" s="159" t="s">
        <v>256</v>
      </c>
      <c r="B32" s="160"/>
      <c r="C32" s="44">
        <f>AVERAGE(C5:C31)</f>
        <v>9639.94</v>
      </c>
      <c r="D32" s="44">
        <f t="shared" ref="D32:H32" si="0">AVERAGE(D5:D31)</f>
        <v>10474.89</v>
      </c>
      <c r="E32" s="44">
        <f t="shared" si="0"/>
        <v>11452.41</v>
      </c>
      <c r="F32" s="44">
        <f t="shared" si="0"/>
        <v>12496.17</v>
      </c>
      <c r="G32" s="44">
        <f t="shared" si="0"/>
        <v>5290.11</v>
      </c>
      <c r="H32" s="44">
        <f t="shared" si="0"/>
        <v>5803.55</v>
      </c>
    </row>
    <row r="33" spans="1:8" x14ac:dyDescent="0.3">
      <c r="A33" s="262" t="s">
        <v>257</v>
      </c>
      <c r="B33" s="263"/>
      <c r="C33" s="44">
        <f>SMALL(C5:C31,27)</f>
        <v>15100.54</v>
      </c>
      <c r="D33" s="44">
        <f t="shared" ref="D33:H33" si="1">SMALL(D5:D31,27)</f>
        <v>16201.63</v>
      </c>
      <c r="E33" s="44">
        <f t="shared" si="1"/>
        <v>16451.59</v>
      </c>
      <c r="F33" s="44">
        <f t="shared" si="1"/>
        <v>18025.95</v>
      </c>
      <c r="G33" s="44">
        <f t="shared" si="1"/>
        <v>7914.2</v>
      </c>
      <c r="H33" s="44">
        <f t="shared" si="1"/>
        <v>8522.8700000000008</v>
      </c>
    </row>
    <row r="34" spans="1:8" x14ac:dyDescent="0.3">
      <c r="A34" s="262" t="s">
        <v>258</v>
      </c>
      <c r="B34" s="263"/>
      <c r="C34" s="44">
        <f>LARGE(C6:C32,27)</f>
        <v>7408.92</v>
      </c>
      <c r="D34" s="44">
        <f t="shared" ref="D34:H34" si="2">LARGE(D6:D32,27)</f>
        <v>8049.8</v>
      </c>
      <c r="E34" s="44">
        <f t="shared" si="2"/>
        <v>8792.52</v>
      </c>
      <c r="F34" s="44">
        <f t="shared" si="2"/>
        <v>9554.01</v>
      </c>
      <c r="G34" s="44">
        <f t="shared" si="2"/>
        <v>4100.8599999999997</v>
      </c>
      <c r="H34" s="44">
        <f t="shared" si="2"/>
        <v>4500.66</v>
      </c>
    </row>
    <row r="35" spans="1:8" x14ac:dyDescent="0.3">
      <c r="H35" s="85" t="s">
        <v>259</v>
      </c>
    </row>
  </sheetData>
  <sheetProtection sheet="1" objects="1" scenarios="1"/>
  <dataConsolidate/>
  <mergeCells count="8">
    <mergeCell ref="A34:B34"/>
    <mergeCell ref="A2:A4"/>
    <mergeCell ref="C2:D3"/>
    <mergeCell ref="E2:F3"/>
    <mergeCell ref="G2:H3"/>
    <mergeCell ref="B2:B4"/>
    <mergeCell ref="A32:B32"/>
    <mergeCell ref="A33:B3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96</vt:i4>
      </vt:variant>
    </vt:vector>
  </HeadingPairs>
  <TitlesOfParts>
    <vt:vector size="105" baseType="lpstr">
      <vt:lpstr>INSERÇÃO-DE-DADOS</vt:lpstr>
      <vt:lpstr>DADOS-ESTATISTICOS</vt:lpstr>
      <vt:lpstr>ENCARGOS-SOCIAIS-E-TRABALHISTAS</vt:lpstr>
      <vt:lpstr>POSTO 12x36 HORAS - DIURNO</vt:lpstr>
      <vt:lpstr>POSTO 12x36 HORAS - NOTURNO</vt:lpstr>
      <vt:lpstr>POSTO 44 HORAS</vt:lpstr>
      <vt:lpstr>SUPERVISÃO 44 HORAS</vt:lpstr>
      <vt:lpstr>QUADRO-RESUMO</vt:lpstr>
      <vt:lpstr>LIMITES-SEGES</vt:lpstr>
      <vt:lpstr>ACORDO_COLETIVO</vt:lpstr>
      <vt:lpstr>ALIMENTACAO_POR_DIA</vt:lpstr>
      <vt:lpstr>CATEGORIA_PROFISSIONAL</vt:lpstr>
      <vt:lpstr>CBO</vt:lpstr>
      <vt:lpstr>DATA_APRESENTACAO_PROPOSTA</vt:lpstr>
      <vt:lpstr>DATA_BASE_CATEGORIA</vt:lpstr>
      <vt:lpstr>DATA_DO_ORCAMENTO_ESTIMATIVO</vt:lpstr>
      <vt:lpstr>DATA_LICITACAO</vt:lpstr>
      <vt:lpstr>DIAS_AUSENCIAS_LEGAIS</vt:lpstr>
      <vt:lpstr>DIAS_LICENCA_MATERNIDADE</vt:lpstr>
      <vt:lpstr>DIAS_LICENCA_PATERNIDADE</vt:lpstr>
      <vt:lpstr>DIAS_NA_SEMANA</vt:lpstr>
      <vt:lpstr>DIAS_NO_ANO</vt:lpstr>
      <vt:lpstr>DIAS_NO_MES</vt:lpstr>
      <vt:lpstr>DIAS_PAGOS_EMPRESA_ACID_TRAB</vt:lpstr>
      <vt:lpstr>DIAS_TRABALHADOS_NO_MES_12X36</vt:lpstr>
      <vt:lpstr>DIAS_UTEIS_TRABALHADOS_NO_MES_44HORAS</vt:lpstr>
      <vt:lpstr>DIVISOR_DE_HORAS</vt:lpstr>
      <vt:lpstr>EQUIPAMENTOS</vt:lpstr>
      <vt:lpstr>HORA_NORMAL</vt:lpstr>
      <vt:lpstr>HORA_NOTURNA</vt:lpstr>
      <vt:lpstr>HORARIO_LICITACAO</vt:lpstr>
      <vt:lpstr>LOCAL_DE_EXECUCAO</vt:lpstr>
      <vt:lpstr>MATERIAIS</vt:lpstr>
      <vt:lpstr>MEDIA_ANUAL_DIAS_TRABALHO_MES</vt:lpstr>
      <vt:lpstr>MESES_NO_ANO</vt:lpstr>
      <vt:lpstr>MODALIDADE_DE_LICITACAO</vt:lpstr>
      <vt:lpstr>NUMERO_MESES_EXEC_CONTRATUAL</vt:lpstr>
      <vt:lpstr>NUMERO_PREGAO</vt:lpstr>
      <vt:lpstr>NUMERO_PROCESSO</vt:lpstr>
      <vt:lpstr>OUTRAS_AUSENCIAS</vt:lpstr>
      <vt:lpstr>OUTRAS_AUSENCIAS_DESCRICAO</vt:lpstr>
      <vt:lpstr>OUTROS_BENEFICIOS_1</vt:lpstr>
      <vt:lpstr>OUTROS_BENEFICIOS_1_DESCRICAO</vt:lpstr>
      <vt:lpstr>OUTROS_BENEFICIOS_2</vt:lpstr>
      <vt:lpstr>OUTROS_BENEFICIOS_2_DESCRICAO</vt:lpstr>
      <vt:lpstr>OUTROS_BENEFICIOS_3</vt:lpstr>
      <vt:lpstr>OUTROS_BENEFICIOS_3_DESCRICAO</vt:lpstr>
      <vt:lpstr>OUTROS_INSUMOS</vt:lpstr>
      <vt:lpstr>OUTROS_INSUMOS_DESCRICAO</vt:lpstr>
      <vt:lpstr>OUTROS_REMUNERACAO_1</vt:lpstr>
      <vt:lpstr>OUTROS_REMUNERACAO_1_DESCRICAO</vt:lpstr>
      <vt:lpstr>OUTROS_REMUNERACAO_2</vt:lpstr>
      <vt:lpstr>OUTROS_REMUNERACAO_2_DESCRICAO</vt:lpstr>
      <vt:lpstr>OUTROS_REMUNERACAO_3</vt:lpstr>
      <vt:lpstr>OUTROS_REMUNERACAO_3_DESCRICAO</vt:lpstr>
      <vt:lpstr>PERC_ADIC_FERIAS</vt:lpstr>
      <vt:lpstr>PERC_ADIC_NOT</vt:lpstr>
      <vt:lpstr>PERC_ADIC_PERIC</vt:lpstr>
      <vt:lpstr>PERC_AVISO_PREVIO_IND</vt:lpstr>
      <vt:lpstr>PERC_AVISO_PREVIO_TRAB</vt:lpstr>
      <vt:lpstr>PERC_COFINS</vt:lpstr>
      <vt:lpstr>PERC_CUSTOS_INDIRETOS</vt:lpstr>
      <vt:lpstr>PERC_DEC_TERC</vt:lpstr>
      <vt:lpstr>PERC_DESC_TRANSP_REMUNERACAO</vt:lpstr>
      <vt:lpstr>PERC_EMPREG_AFAST_TRAB</vt:lpstr>
      <vt:lpstr>PERC_EMPREG_AVISO_PREVIO_IND</vt:lpstr>
      <vt:lpstr>PERC_EMPREG_AVISO_PREVIO_TRAB</vt:lpstr>
      <vt:lpstr>PERC_EMPREG_DEMIT_SEM_JUSTA_CAUSA_TOTAL_DESLIG</vt:lpstr>
      <vt:lpstr>PERC_FGTS</vt:lpstr>
      <vt:lpstr>PERC_GPS_FGTS</vt:lpstr>
      <vt:lpstr>PERC_HORA_EXTRA</vt:lpstr>
      <vt:lpstr>PERC_INCRA</vt:lpstr>
      <vt:lpstr>PERC_INSS</vt:lpstr>
      <vt:lpstr>PERC_ISS</vt:lpstr>
      <vt:lpstr>PERC_LUCRO</vt:lpstr>
      <vt:lpstr>PERC_MULTA_FGTS</vt:lpstr>
      <vt:lpstr>PERC_MULTA_FGTS_AV_PREV_TRAB</vt:lpstr>
      <vt:lpstr>PERC_NASCIDOS_VIVOS_POPUL_FEM</vt:lpstr>
      <vt:lpstr>PERC_PARTIC_FEM_VIGIL</vt:lpstr>
      <vt:lpstr>PERC_PARTIC_MASC_VIGIL</vt:lpstr>
      <vt:lpstr>PERC_PIS</vt:lpstr>
      <vt:lpstr>PERC_RAT</vt:lpstr>
      <vt:lpstr>PERC_SAL_EDUCACAO</vt:lpstr>
      <vt:lpstr>PERC_SEBRAE</vt:lpstr>
      <vt:lpstr>PERC_SENAC</vt:lpstr>
      <vt:lpstr>PERC_SESC</vt:lpstr>
      <vt:lpstr>PERC_SUBSTITUTO_ACID_TRAB</vt:lpstr>
      <vt:lpstr>PERC_SUBSTITUTO_AFAST_MATERN</vt:lpstr>
      <vt:lpstr>PERC_SUBSTITUTO_AUSENCIAS_LEGAIS</vt:lpstr>
      <vt:lpstr>PERC_SUBSTITUTO_FERIAS</vt:lpstr>
      <vt:lpstr>PERC_SUBSTITUTO_LICENCA_PATERNIDADE</vt:lpstr>
      <vt:lpstr>PERC_SUBSTITUTO_OUTRAS_AUSENCIAS</vt:lpstr>
      <vt:lpstr>POSTO_12X36_DIU</vt:lpstr>
      <vt:lpstr>POSTO_12X36_NOT</vt:lpstr>
      <vt:lpstr>POSTO_44H</vt:lpstr>
      <vt:lpstr>QTDE_DE_POSTOS_12X36_DIU</vt:lpstr>
      <vt:lpstr>QTDE_DE_POSTOS_12X36_NOT</vt:lpstr>
      <vt:lpstr>QTDE_DE_POSTOS_44H</vt:lpstr>
      <vt:lpstr>RAMO</vt:lpstr>
      <vt:lpstr>SALARIO_BASE</vt:lpstr>
      <vt:lpstr>TEMPO_INTERVALO_REFEICAO</vt:lpstr>
      <vt:lpstr>TIPO_DE_SERVICO</vt:lpstr>
      <vt:lpstr>TRANSPORTE_POR_DIA</vt:lpstr>
      <vt:lpstr>UG</vt:lpstr>
      <vt:lpstr>UNIFORMES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Felipe Flores da Silva</dc:creator>
  <cp:keywords/>
  <dc:description/>
  <cp:lastModifiedBy>Flávia Estefânia Borges Tegoshi</cp:lastModifiedBy>
  <cp:revision/>
  <dcterms:created xsi:type="dcterms:W3CDTF">2014-02-07T18:14:59Z</dcterms:created>
  <dcterms:modified xsi:type="dcterms:W3CDTF">2025-02-13T17:17:08Z</dcterms:modified>
  <cp:category/>
  <cp:contentStatus/>
</cp:coreProperties>
</file>