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runo\Desktop\AÇÃO - Manutenção predial (Licitação)\"/>
    </mc:Choice>
  </mc:AlternateContent>
  <xr:revisionPtr revIDLastSave="0" documentId="13_ncr:1_{2065A7CE-32B0-424D-B0C3-14F1F5EA2DAB}" xr6:coauthVersionLast="47" xr6:coauthVersionMax="47" xr10:uidLastSave="{00000000-0000-0000-0000-000000000000}"/>
  <workbookProtection lockStructure="1"/>
  <bookViews>
    <workbookView xWindow="-108" yWindow="-108" windowWidth="23256" windowHeight="12456" firstSheet="2" activeTab="4" xr2:uid="{00000000-000D-0000-FFFF-FFFF00000000}"/>
  </bookViews>
  <sheets>
    <sheet name="INSERÇÃO-DE-DADOS" sheetId="1" r:id="rId1"/>
    <sheet name="DADOS-ESTATISTICOS" sheetId="2" r:id="rId2"/>
    <sheet name="ENCARGOS-SOCIAIS-E-TRABALHISTAS" sheetId="3" r:id="rId3"/>
    <sheet name="POSTO 12x36 HORAS" sheetId="4" r:id="rId4"/>
    <sheet name="POSTO 44 HORAS" sheetId="5" r:id="rId5"/>
  </sheets>
  <definedNames>
    <definedName name="ACORDO_COLETIVO">'INSERÇÃO-DE-DADOS'!$F$14</definedName>
    <definedName name="ADESAO_AO_PAT">'INSERÇÃO-DE-DADOS'!$E$49</definedName>
    <definedName name="AL_1_A_SAL_BASE_12x36" localSheetId="3">'POSTO 12x36 HORAS'!$F$22</definedName>
    <definedName name="AL_1_A_SAL_BASE_44H" localSheetId="4">'POSTO 44 HORAS'!$F$22</definedName>
    <definedName name="AL_1_B_ADIC_PERIC_12x36" localSheetId="3">'POSTO 12x36 HORAS'!$F$23</definedName>
    <definedName name="AL_1_B_ADIC_PERIC_44H" localSheetId="4">'POSTO 44 HORAS'!$F$23</definedName>
    <definedName name="AL_1_C_ADIC_NOT_12x36" localSheetId="3">'POSTO 12x36 HORAS'!$F$24</definedName>
    <definedName name="AL_1_D_ADIC_NOT_RED_12x36" localSheetId="3">'POSTO 12x36 HORAS'!$F$25</definedName>
    <definedName name="AL_2_1_A_DEC_TERC_12x36" localSheetId="3">'POSTO 12x36 HORAS'!$F$34</definedName>
    <definedName name="AL_2_1_A_DEC_TERC_44H" localSheetId="4">'POSTO 44 HORAS'!$F$32</definedName>
    <definedName name="AL_2_1_B_ADIC_FERIAS_12x36" localSheetId="3">'POSTO 12x36 HORAS'!$F$35</definedName>
    <definedName name="AL_2_1_B_ADIC_FERIAS_44H" localSheetId="4">'POSTO 44 HORAS'!$F$33</definedName>
    <definedName name="AL_2_2_FGTS_12x36" localSheetId="3">'POSTO 12x36 HORAS'!$F$46</definedName>
    <definedName name="AL_2_2_FGTS_44H" localSheetId="4">'POSTO 44 HORAS'!$F$44</definedName>
    <definedName name="AL_2_3_A_TRANSP_12x36" localSheetId="3">'POSTO 12x36 HORAS'!$F$50</definedName>
    <definedName name="AL_2_3_A_TRANSP_44H" localSheetId="4">'POSTO 44 HORAS'!$F$48</definedName>
    <definedName name="AL_2_3_B_AUX_ALIMENT_12x36" localSheetId="3">'POSTO 12x36 HORAS'!$F$51</definedName>
    <definedName name="AL_2_3_B_AUX_ALIMENT_44H" localSheetId="4">'POSTO 44 HORAS'!$F$49</definedName>
    <definedName name="AL_2_3_C_OUTROS_BENEF_12x36" localSheetId="3">'POSTO 12x36 HORAS'!$F$52</definedName>
    <definedName name="AL_2_3_C_OUTROS_BENEF_44H" localSheetId="4">'POSTO 44 HORAS'!$F$50</definedName>
    <definedName name="AL_2_A_ATE_2_G_GPS_12x36" localSheetId="3">'POSTO 12x36 HORAS'!$F$39:$F$45</definedName>
    <definedName name="AL_2_A_ATE_2_G_GPS_44H" localSheetId="4">'POSTO 44 HORAS'!$F$37:$F$43</definedName>
    <definedName name="AL_6_A_CUSTOS_INDIRETOS_12x36" localSheetId="3">'POSTO 12x36 HORAS'!$F$95</definedName>
    <definedName name="AL_6_A_CUSTOS_INDIRETOS_44H" localSheetId="4">'POSTO 44 HORAS'!$F$85</definedName>
    <definedName name="AL_6_B_LUCRO_12x36" localSheetId="3">'POSTO 12x36 HORAS'!$F$96</definedName>
    <definedName name="AL_6_B_LUCRO_44H" localSheetId="4">'POSTO 44 HORAS'!$F$86</definedName>
    <definedName name="AL_6_C_1_PIS_12x36" localSheetId="3">'POSTO 12x36 HORAS'!$F$98</definedName>
    <definedName name="AL_6_C_1_PIS_44H" localSheetId="4">'POSTO 44 HORAS'!$F$88</definedName>
    <definedName name="AL_6_C_2_COFINS_12x36" localSheetId="3">'POSTO 12x36 HORAS'!$F$99</definedName>
    <definedName name="AL_6_C_2_COFINS_44H" localSheetId="4">'POSTO 44 HORAS'!$F$89</definedName>
    <definedName name="AL_6_C_3_ISS_12x36" localSheetId="3">'POSTO 12x36 HORAS'!$F$100</definedName>
    <definedName name="AL_6_C_3_ISS_44H" localSheetId="4">'POSTO 44 HORAS'!$F$90</definedName>
    <definedName name="AL_6_C_TRIBUTOS_12x36" localSheetId="3">'POSTO 12x36 HORAS'!$F$97</definedName>
    <definedName name="AL_6_C_TRIBUTOS_44H" localSheetId="4">'POSTO 44 HORAS'!$F$87</definedName>
    <definedName name="ALIMENTACAO_POR_DIA">'INSERÇÃO-DE-DADOS'!$F$48</definedName>
    <definedName name="_xlnm.Print_Area" localSheetId="1">'DADOS-ESTATISTICOS'!$B$1:$F$39</definedName>
    <definedName name="_xlnm.Print_Area" localSheetId="2">'ENCARGOS-SOCIAIS-E-TRABALHISTAS'!$B$1:$F$38</definedName>
    <definedName name="_xlnm.Print_Area" localSheetId="0">'INSERÇÃO-DE-DADOS'!$B$1:$F$84</definedName>
    <definedName name="_xlnm.Print_Area" localSheetId="3">'POSTO 12x36 HORAS'!$B$1:$F$114</definedName>
    <definedName name="_xlnm.Print_Area" localSheetId="4">'POSTO 44 HORAS'!$B$1:$F$104</definedName>
    <definedName name="BC_ADIC_INSALUB">'INSERÇÃO-DE-DADOS'!$F$20</definedName>
    <definedName name="CATEGORIA_PROFISSIONAL">'INSERÇÃO-DE-DADOS'!$D$24</definedName>
    <definedName name="CBO">'INSERÇÃO-DE-DADOS'!$D$23</definedName>
    <definedName name="DATA_APRESENTACAO_PROPOSTA">'INSERÇÃO-DE-DADOS'!$F$11</definedName>
    <definedName name="DATA_BASE_CATEGORIA">'INSERÇÃO-DE-DADOS'!$F$25</definedName>
    <definedName name="DATA_DO_ORCAMENTO_ESTIMATIVO">'INSERÇÃO-DE-DADOS'!$F$2</definedName>
    <definedName name="DATA_LICITACAO">'INSERÇÃO-DE-DADOS'!$D$8</definedName>
    <definedName name="DIAS_AUSENCIAS_LEGAIS">'DADOS-ESTATISTICOS'!$F$29</definedName>
    <definedName name="DIAS_LICENCA_MATERNIDADE">'DADOS-ESTATISTICOS'!$F$35</definedName>
    <definedName name="DIAS_LICENCA_PATERNIDADE">'DADOS-ESTATISTICOS'!$F$30</definedName>
    <definedName name="DIAS_NA_SEMANA">'DADOS-ESTATISTICOS'!$F$5</definedName>
    <definedName name="DIAS_NO_ANO">'DADOS-ESTATISTICOS'!$F$6</definedName>
    <definedName name="DIAS_NO_MES">'DADOS-ESTATISTICOS'!$F$24</definedName>
    <definedName name="DIAS_PAGOS_EMPRESA_ACID_TRAB">'DADOS-ESTATISTICOS'!$F$34</definedName>
    <definedName name="DIAS_TRABALHADOS_NO_MES_12X36">'DADOS-ESTATISTICOS'!$F$15</definedName>
    <definedName name="DIAS_UTEIS_TRABALHADOS_NO_MES_44HORAS">'DADOS-ESTATISTICOS'!$F$16</definedName>
    <definedName name="DIVISOR_DE_HORAS">'DADOS-ESTATISTICOS'!$F$4</definedName>
    <definedName name="EMPREG_POR_POSTO">'INSERÇÃO-DE-DADOS'!$E$19</definedName>
    <definedName name="EQUIPAMENTOS">'INSERÇÃO-DE-DADOS'!$F$72</definedName>
    <definedName name="FAP">'INSERÇÃO-DE-DADOS'!$F$43</definedName>
    <definedName name="HORA_NORMAL">'DADOS-ESTATISTICOS'!$F$9</definedName>
    <definedName name="HORA_NOTURNA">'DADOS-ESTATISTICOS'!$F$10</definedName>
    <definedName name="HORARIO_LICITACAO">'INSERÇÃO-DE-DADOS'!$F$8</definedName>
    <definedName name="INCID_FGTS_SOBRE_API">'ENCARGOS-SOCIAIS-E-TRABALHISTAS'!$E$21</definedName>
    <definedName name="INCID_SUBMOD_2_2_APT">'ENCARGOS-SOCIAIS-E-TRABALHISTAS'!$E$24</definedName>
    <definedName name="LOCAL_DE_EXECUCAO">'INSERÇÃO-DE-DADOS'!$D$12</definedName>
    <definedName name="MATERIAIS">'INSERÇÃO-DE-DADOS'!$F$71</definedName>
    <definedName name="MEDIA_ANUAL_DIAS_TRABALHO_MES">'DADOS-ESTATISTICOS'!$F$7</definedName>
    <definedName name="MESES_NO_ANO">'DADOS-ESTATISTICOS'!$F$8</definedName>
    <definedName name="MOD_1_REMUNERACAO_12X36">'POSTO 12x36 HORAS'!$F$30</definedName>
    <definedName name="MOD_1_REMUNERACAO_44H" localSheetId="4">'POSTO 44 HORAS'!$F$28</definedName>
    <definedName name="MOD_2_ENCARGOS_BENEFICIOS_12x36" localSheetId="3">'POSTO 12x36 HORAS'!$F$36+'POSTO 12x36 HORAS'!$F$47+'POSTO 12x36 HORAS'!$F$55</definedName>
    <definedName name="MOD_2_ENCARGOS_BENEFICIOS_44H" localSheetId="4">'POSTO 44 HORAS'!$F$34+'POSTO 44 HORAS'!$F$45+'POSTO 44 HORAS'!$F$53</definedName>
    <definedName name="MOD_3_PROVISAO_RESCISAO_12x36" localSheetId="3">'POSTO 12x36 HORAS'!$F$68</definedName>
    <definedName name="MOD_3_PROVISAO_RESCISAO_44H" localSheetId="4">'POSTO 44 HORAS'!$F$62</definedName>
    <definedName name="MOD_4_CUSTO_REPOSICAO_12x36" localSheetId="3">'POSTO 12x36 HORAS'!$F$79+'POSTO 12x36 HORAS'!$F$83</definedName>
    <definedName name="MOD_4_CUSTO_REPOSICAO_44H" localSheetId="4">'POSTO 44 HORAS'!$F$73</definedName>
    <definedName name="MOD_5_INSUMOS_12x36" localSheetId="3">'POSTO 12x36 HORAS'!$F$91</definedName>
    <definedName name="MOD_5_INSUMOS_44H" localSheetId="4">'POSTO 44 HORAS'!$F$81</definedName>
    <definedName name="MOD_6_CUSTOS_IND_LUCRO_TRIB_12x36" localSheetId="3">'POSTO 12x36 HORAS'!$F$101</definedName>
    <definedName name="MOD_6_CUSTOS_IND_LUCRO_TRIB_44H" localSheetId="4">'POSTO 44 HORAS'!$F$91</definedName>
    <definedName name="MODALIDADE_DE_LICITACAO">'INSERÇÃO-DE-DADOS'!$D$7</definedName>
    <definedName name="NUMERO_MESES_EXEC_CONTRATUAL">'INSERÇÃO-DE-DADOS'!$F$15</definedName>
    <definedName name="NUMERO_PREGAO">'INSERÇÃO-DE-DADOS'!$F$7</definedName>
    <definedName name="NUMERO_PROCESSO">'INSERÇÃO-DE-DADOS'!$D$6</definedName>
    <definedName name="OUTRAS_AUSENCIAS">'ENCARGOS-SOCIAIS-E-TRABALHISTAS'!$E$34</definedName>
    <definedName name="OUTRAS_AUSENCIAS_DESCRICAO">'INSERÇÃO-DE-DADOS'!$C$62</definedName>
    <definedName name="OUTROS_BENEFICIOS_1">'INSERÇÃO-DE-DADOS'!$F$50</definedName>
    <definedName name="OUTROS_BENEFICIOS_1_DESCRICAO">'INSERÇÃO-DE-DADOS'!$C$50</definedName>
    <definedName name="OUTROS_BENEFICIOS_2">'INSERÇÃO-DE-DADOS'!$F$51</definedName>
    <definedName name="OUTROS_BENEFICIOS_2_DESCRICAO">'INSERÇÃO-DE-DADOS'!$C$51</definedName>
    <definedName name="OUTROS_BENEFICIOS_3">'INSERÇÃO-DE-DADOS'!$F$52</definedName>
    <definedName name="OUTROS_BENEFICIOS_3_DESCRICAO">'INSERÇÃO-DE-DADOS'!$C$52</definedName>
    <definedName name="OUTROS_INSUMOS">'INSERÇÃO-DE-DADOS'!$F$73</definedName>
    <definedName name="OUTROS_INSUMOS_DESCRICAO">'INSERÇÃO-DE-DADOS'!$C$73</definedName>
    <definedName name="OUTROS_REMUNERACAO_1">'INSERÇÃO-DE-DADOS'!$F$35</definedName>
    <definedName name="OUTROS_REMUNERACAO_1_DESCRICAO">'INSERÇÃO-DE-DADOS'!$C$35</definedName>
    <definedName name="OUTROS_REMUNERACAO_2">'INSERÇÃO-DE-DADOS'!$F$36</definedName>
    <definedName name="OUTROS_REMUNERACAO_2_DESCRICAO">'INSERÇÃO-DE-DADOS'!$C$36:$E$36</definedName>
    <definedName name="OUTROS_REMUNERACAO_3">'INSERÇÃO-DE-DADOS'!$F$37</definedName>
    <definedName name="OUTROS_REMUNERACAO_3_DESCRICAO">'INSERÇÃO-DE-DADOS'!$C$37:$E$37</definedName>
    <definedName name="PERC_ADIC_FERIAS">'ENCARGOS-SOCIAIS-E-TRABALHISTAS'!$E$6</definedName>
    <definedName name="PERC_ADIC_INS">'INSERÇÃO-DE-DADOS'!$F$34</definedName>
    <definedName name="PERC_ADIC_NOT">'INSERÇÃO-DE-DADOS'!$F$33</definedName>
    <definedName name="PERC_ADIC_PERIC">'INSERÇÃO-DE-DADOS'!$F$32</definedName>
    <definedName name="PERC_AVISO_PREVIO_IND">'ENCARGOS-SOCIAIS-E-TRABALHISTAS'!$E$20</definedName>
    <definedName name="PERC_AVISO_PREVIO_TRAB">'ENCARGOS-SOCIAIS-E-TRABALHISTAS'!$E$23</definedName>
    <definedName name="PERC_COFINS">'INSERÇÃO-DE-DADOS'!$F$80</definedName>
    <definedName name="PERC_CUSTOS_INDIRETOS">'INSERÇÃO-DE-DADOS'!$F$77</definedName>
    <definedName name="PERC_DEC_TERC">'ENCARGOS-SOCIAIS-E-TRABALHISTAS'!$E$5</definedName>
    <definedName name="PERC_DESC_TRANSP_REMUNERACAO">'DADOS-ESTATISTICOS'!$F$14</definedName>
    <definedName name="PERC_EMPREG_AFAST_TRAB">'DADOS-ESTATISTICOS'!$F$33</definedName>
    <definedName name="PERC_EMPREG_AVISO_PREVIO_IND">'DADOS-ESTATISTICOS'!$F$21</definedName>
    <definedName name="PERC_EMPREG_AVISO_PREVIO_TRAB">'DADOS-ESTATISTICOS'!$F$23</definedName>
    <definedName name="PERC_EMPREG_DEMIT_SEM_JUSTA_CAUSA_TOTAL_DESLIG">'DADOS-ESTATISTICOS'!$F$20</definedName>
    <definedName name="PERC_FAP">'INSERÇÃO-DE-DADOS'!$F$43</definedName>
    <definedName name="PERC_FGTS">'ENCARGOS-SOCIAIS-E-TRABALHISTAS'!$E$16</definedName>
    <definedName name="PERC_GPS_FGTS">'ENCARGOS-SOCIAIS-E-TRABALHISTAS'!$E$17</definedName>
    <definedName name="PERC_HORA_EXTRA">'INSERÇÃO-DE-DADOS'!$F$56</definedName>
    <definedName name="PERC_INCRA">'ENCARGOS-SOCIAIS-E-TRABALHISTAS'!$E$15</definedName>
    <definedName name="PERC_INSS">'ENCARGOS-SOCIAIS-E-TRABALHISTAS'!$E$9</definedName>
    <definedName name="PERC_ISS">'INSERÇÃO-DE-DADOS'!$F$81</definedName>
    <definedName name="PERC_LUCRO">'INSERÇÃO-DE-DADOS'!$F$78</definedName>
    <definedName name="PERC_MOD_3_PROVISAO_RESCISAO" localSheetId="3">'POSTO 12x36 HORAS'!$E$68</definedName>
    <definedName name="PERC_MOD_3_PROVISAO_RESCISAO" localSheetId="4">'POSTO 44 HORAS'!$E$62</definedName>
    <definedName name="PERC_MULTA_FGTS">'DADOS-ESTATISTICOS'!$F$22</definedName>
    <definedName name="PERC_MULTA_FGTS_AV_PREV_IND">'ENCARGOS-SOCIAIS-E-TRABALHISTAS'!$E$22</definedName>
    <definedName name="PERC_MULTA_FGTS_AV_PREV_TRAB">'ENCARGOS-SOCIAIS-E-TRABALHISTAS'!$E$25</definedName>
    <definedName name="PERC_NASCIDOS_VIVOS_POPUL_FEM">'DADOS-ESTATISTICOS'!$F$31</definedName>
    <definedName name="PERC_PARTIC_FEM_VIGIL">'DADOS-ESTATISTICOS'!$F$36</definedName>
    <definedName name="PERC_PARTIC_MASC_VIGIL">'DADOS-ESTATISTICOS'!$F$32</definedName>
    <definedName name="PERC_PAT">'INSERÇÃO-DE-DADOS'!$F$49</definedName>
    <definedName name="PERC_PIS">'INSERÇÃO-DE-DADOS'!$F$79</definedName>
    <definedName name="PERC_RAT">'ENCARGOS-SOCIAIS-E-TRABALHISTAS'!$E$11</definedName>
    <definedName name="PERC_SAL_EDUCACAO">'ENCARGOS-SOCIAIS-E-TRABALHISTAS'!$E$10</definedName>
    <definedName name="PERC_SEBRAE">'ENCARGOS-SOCIAIS-E-TRABALHISTAS'!$E$14</definedName>
    <definedName name="PERC_SENAC">'ENCARGOS-SOCIAIS-E-TRABALHISTAS'!$E$13</definedName>
    <definedName name="PERC_SESC">'ENCARGOS-SOCIAIS-E-TRABALHISTAS'!$E$12</definedName>
    <definedName name="PERC_SUBSTITUTO_ACID_TRAB">'ENCARGOS-SOCIAIS-E-TRABALHISTAS'!$E$32</definedName>
    <definedName name="PERC_SUBSTITUTO_AFAST_MATERN">'ENCARGOS-SOCIAIS-E-TRABALHISTAS'!$E$33</definedName>
    <definedName name="PERC_SUBSTITUTO_AUSENCIAS_LEGAIS">'ENCARGOS-SOCIAIS-E-TRABALHISTAS'!$E$30</definedName>
    <definedName name="PERC_SUBSTITUTO_FERIAS">'ENCARGOS-SOCIAIS-E-TRABALHISTAS'!$E$29</definedName>
    <definedName name="PERC_SUBSTITUTO_LICENCA_PATERNIDADE">'ENCARGOS-SOCIAIS-E-TRABALHISTAS'!$E$31</definedName>
    <definedName name="PERC_SUBSTITUTO_OUTRAS_AUSENCIAS">'INSERÇÃO-DE-DADOS'!$F$62</definedName>
    <definedName name="PERC_TRIBUTOS" localSheetId="3">'POSTO 12x36 HORAS'!$E$97</definedName>
    <definedName name="PERC_TRIBUTOS" localSheetId="4">'POSTO 44 HORAS'!$E$87</definedName>
    <definedName name="QTDE_POSTOS" localSheetId="3">'INSERÇÃO-DE-DADOS'!$F$19</definedName>
    <definedName name="QTDE_POSTOS" localSheetId="4">'INSERÇÃO-DE-DADOS'!$F$19</definedName>
    <definedName name="RAMO">'INSERÇÃO-DE-DADOS'!$B$1</definedName>
    <definedName name="SAL_MINIMO">'INSERÇÃO-DE-DADOS'!$F$26</definedName>
    <definedName name="SALARIO_BASE">'INSERÇÃO-DE-DADOS'!$F$31</definedName>
    <definedName name="SUBMOD_2_1_DEC_TERC_ADIC_FERIAS_12x36" localSheetId="3">'POSTO 12x36 HORAS'!$F$36</definedName>
    <definedName name="SUBMOD_2_1_DEC_TERC_ADIC_FERIAS_44H">'POSTO 44 HORAS'!$F$34</definedName>
    <definedName name="SUBMOD_2_2_GPS_FGTS_12x36" localSheetId="3">'POSTO 12x36 HORAS'!$F$47</definedName>
    <definedName name="SUBMOD_2_2_GPS_FGTS_44H" localSheetId="4">'POSTO 44 HORAS'!$F$45</definedName>
    <definedName name="SUBMOD_2_3_BENEFICIOS_12x36" localSheetId="3">'POSTO 12x36 HORAS'!$F$55</definedName>
    <definedName name="SUBMOD_2_3_BENEFICIOS_44H" localSheetId="4">'POSTO 44 HORAS'!$F$53</definedName>
    <definedName name="SUBMOD_2_4_INTERVALO_INTRAJORNADA_12X36">'POSTO 12x36 HORAS'!$F$59</definedName>
    <definedName name="SUBMOD_4_1_SUBSTITUTO_12x36" localSheetId="3">'POSTO 12x36 HORAS'!$F$79</definedName>
    <definedName name="SUBMOD_4_1_SUBSTITUTO_44H" localSheetId="4">'POSTO 44 HORAS'!$F$73</definedName>
    <definedName name="SUBMOD_4_2_INTRAJORNADA_12x36" localSheetId="3">'POSTO 12x36 HORAS'!$F$83</definedName>
    <definedName name="TEMPO_INTERVALO_REFEICAO_INTERV_INTRA">'INSERÇÃO-DE-DADOS'!$F$57</definedName>
    <definedName name="TEMPO_INTERVALO_REFEICAO_SUBST_INTRA">'INSERÇÃO-DE-DADOS'!$F$66</definedName>
    <definedName name="TIPO_DE_SERVICO">'INSERÇÃO-DE-DADOS'!$C$19</definedName>
    <definedName name="TRANSPORTE_POR_DIA">'INSERÇÃO-DE-DADOS'!$F$47</definedName>
    <definedName name="UG">'INSERÇÃO-DE-DADOS'!$B$2</definedName>
    <definedName name="UNIFORMES">'INSERÇÃO-DE-DADOS'!$F$70</definedName>
    <definedName name="VALOR_TOTAL_EMPREGADO_12x36" localSheetId="3">'POSTO 12x36 HORAS'!$F$110</definedName>
    <definedName name="VALOR_TOTAL_EMPREGADO_44H" localSheetId="4">'POSTO 44 HORAS'!$F$100</definedName>
    <definedName name="VALOR_TOTAL_POSTO_12x36" localSheetId="3">'POSTO 12x36 HORAS'!$F$111</definedName>
    <definedName name="VALOR_TOTAL_POSTO_44H" localSheetId="4">'POSTO 44 HORAS'!$F$101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CAS+gtsa7u7PPNA7vv1k0gfwf+jyYzeVSfNHDEBIfL0="/>
    </ext>
  </extLst>
</workbook>
</file>

<file path=xl/calcChain.xml><?xml version="1.0" encoding="utf-8"?>
<calcChain xmlns="http://schemas.openxmlformats.org/spreadsheetml/2006/main">
  <c r="F22" i="4" l="1"/>
  <c r="E90" i="5" l="1"/>
  <c r="E89" i="5"/>
  <c r="E88" i="5"/>
  <c r="E87" i="5" s="1"/>
  <c r="E86" i="5"/>
  <c r="E85" i="5"/>
  <c r="F80" i="5"/>
  <c r="C80" i="5"/>
  <c r="F79" i="5"/>
  <c r="F78" i="5"/>
  <c r="F77" i="5"/>
  <c r="F81" i="5" s="1"/>
  <c r="F98" i="5" s="1"/>
  <c r="E72" i="5"/>
  <c r="C72" i="5"/>
  <c r="E67" i="5"/>
  <c r="F52" i="5"/>
  <c r="C52" i="5"/>
  <c r="F51" i="5"/>
  <c r="C51" i="5"/>
  <c r="F50" i="5"/>
  <c r="C50" i="5"/>
  <c r="F49" i="5"/>
  <c r="E44" i="5"/>
  <c r="E43" i="5"/>
  <c r="E42" i="5"/>
  <c r="E41" i="5"/>
  <c r="E40" i="5"/>
  <c r="E38" i="5"/>
  <c r="E37" i="5"/>
  <c r="F27" i="5"/>
  <c r="C27" i="5"/>
  <c r="F26" i="5"/>
  <c r="C26" i="5"/>
  <c r="F25" i="5"/>
  <c r="C25" i="5"/>
  <c r="F24" i="5"/>
  <c r="F23" i="5"/>
  <c r="F22" i="5"/>
  <c r="F28" i="5" s="1"/>
  <c r="F19" i="5"/>
  <c r="F17" i="5"/>
  <c r="D16" i="5"/>
  <c r="D15" i="5"/>
  <c r="E14" i="5"/>
  <c r="F12" i="5"/>
  <c r="F11" i="5"/>
  <c r="F10" i="5"/>
  <c r="D9" i="5"/>
  <c r="F8" i="5"/>
  <c r="F6" i="5"/>
  <c r="D6" i="5"/>
  <c r="D5" i="5"/>
  <c r="F2" i="5"/>
  <c r="B2" i="5"/>
  <c r="B1" i="5"/>
  <c r="E100" i="4"/>
  <c r="E99" i="4"/>
  <c r="E98" i="4"/>
  <c r="E97" i="4"/>
  <c r="E96" i="4"/>
  <c r="E95" i="4"/>
  <c r="F90" i="4"/>
  <c r="C90" i="4"/>
  <c r="F89" i="4"/>
  <c r="F88" i="4"/>
  <c r="F87" i="4"/>
  <c r="F91" i="4" s="1"/>
  <c r="F108" i="4" s="1"/>
  <c r="E78" i="4"/>
  <c r="C78" i="4"/>
  <c r="E76" i="4"/>
  <c r="E64" i="4"/>
  <c r="F54" i="4"/>
  <c r="C54" i="4"/>
  <c r="F53" i="4"/>
  <c r="C53" i="4"/>
  <c r="F52" i="4"/>
  <c r="C52" i="4"/>
  <c r="F51" i="4"/>
  <c r="F50" i="4"/>
  <c r="F55" i="4" s="1"/>
  <c r="E46" i="4"/>
  <c r="E45" i="4"/>
  <c r="E44" i="4"/>
  <c r="E43" i="4"/>
  <c r="E42" i="4"/>
  <c r="E40" i="4"/>
  <c r="E39" i="4"/>
  <c r="E35" i="4"/>
  <c r="E34" i="4"/>
  <c r="F29" i="4"/>
  <c r="C29" i="4"/>
  <c r="F28" i="4"/>
  <c r="C28" i="4"/>
  <c r="F27" i="4"/>
  <c r="C27" i="4"/>
  <c r="F26" i="4"/>
  <c r="F23" i="4"/>
  <c r="F25" i="4" s="1"/>
  <c r="F19" i="4"/>
  <c r="F17" i="4"/>
  <c r="D16" i="4"/>
  <c r="D15" i="4"/>
  <c r="E14" i="4"/>
  <c r="F12" i="4"/>
  <c r="F11" i="4"/>
  <c r="F10" i="4"/>
  <c r="D9" i="4"/>
  <c r="F8" i="4"/>
  <c r="F6" i="4"/>
  <c r="D6" i="4"/>
  <c r="D5" i="4"/>
  <c r="F2" i="4"/>
  <c r="B2" i="4"/>
  <c r="B1" i="4"/>
  <c r="E34" i="3"/>
  <c r="C34" i="3"/>
  <c r="E32" i="3"/>
  <c r="E31" i="3"/>
  <c r="E30" i="3"/>
  <c r="E29" i="3"/>
  <c r="E73" i="4" s="1"/>
  <c r="E25" i="3"/>
  <c r="E23" i="3"/>
  <c r="E59" i="5" s="1"/>
  <c r="E22" i="3"/>
  <c r="E20" i="3"/>
  <c r="E11" i="3"/>
  <c r="E6" i="3"/>
  <c r="E33" i="5" s="1"/>
  <c r="E5" i="3"/>
  <c r="F32" i="5" s="1"/>
  <c r="F33" i="2"/>
  <c r="F33" i="5" l="1"/>
  <c r="F94" i="5"/>
  <c r="F34" i="5"/>
  <c r="F56" i="5"/>
  <c r="F24" i="4"/>
  <c r="F48" i="5"/>
  <c r="F53" i="5" s="1"/>
  <c r="E67" i="4"/>
  <c r="F30" i="4"/>
  <c r="E62" i="4"/>
  <c r="E74" i="4"/>
  <c r="E39" i="5"/>
  <c r="E61" i="5"/>
  <c r="E75" i="4"/>
  <c r="F39" i="5"/>
  <c r="F61" i="5"/>
  <c r="E68" i="5"/>
  <c r="E65" i="4"/>
  <c r="E21" i="3"/>
  <c r="E41" i="4"/>
  <c r="E56" i="5"/>
  <c r="E32" i="5"/>
  <c r="E69" i="5"/>
  <c r="E70" i="5"/>
  <c r="E58" i="5"/>
  <c r="E17" i="3"/>
  <c r="F44" i="5" l="1"/>
  <c r="F40" i="5"/>
  <c r="F43" i="5"/>
  <c r="F42" i="5"/>
  <c r="F41" i="5"/>
  <c r="F38" i="5"/>
  <c r="F37" i="5"/>
  <c r="E33" i="3"/>
  <c r="E24" i="3"/>
  <c r="F59" i="5"/>
  <c r="F104" i="4"/>
  <c r="F35" i="4"/>
  <c r="F34" i="4"/>
  <c r="F36" i="4" s="1"/>
  <c r="F63" i="4" s="1"/>
  <c r="F58" i="4"/>
  <c r="F59" i="4" s="1"/>
  <c r="F58" i="5"/>
  <c r="F57" i="5"/>
  <c r="E57" i="5"/>
  <c r="E63" i="4"/>
  <c r="F45" i="4" l="1"/>
  <c r="F46" i="4"/>
  <c r="F62" i="5"/>
  <c r="F96" i="5" s="1"/>
  <c r="E66" i="4"/>
  <c r="F66" i="4" s="1"/>
  <c r="F60" i="5"/>
  <c r="E60" i="5"/>
  <c r="F62" i="4"/>
  <c r="F67" i="4"/>
  <c r="F71" i="5"/>
  <c r="E71" i="5"/>
  <c r="E77" i="4"/>
  <c r="F45" i="5"/>
  <c r="F39" i="4"/>
  <c r="F64" i="4"/>
  <c r="F42" i="4"/>
  <c r="F44" i="4"/>
  <c r="F41" i="4"/>
  <c r="F40" i="4"/>
  <c r="F43" i="4"/>
  <c r="F65" i="4"/>
  <c r="F68" i="5" l="1"/>
  <c r="F72" i="5"/>
  <c r="F70" i="5"/>
  <c r="F67" i="5"/>
  <c r="F69" i="5"/>
  <c r="F95" i="5"/>
  <c r="F68" i="4"/>
  <c r="F106" i="4" s="1"/>
  <c r="F47" i="4"/>
  <c r="F82" i="4" l="1"/>
  <c r="F83" i="4" s="1"/>
  <c r="F75" i="4" a="1"/>
  <c r="F75" i="4" s="1"/>
  <c r="F74" i="4" a="1"/>
  <c r="F74" i="4" s="1"/>
  <c r="F78" i="4" a="1"/>
  <c r="F78" i="4" s="1"/>
  <c r="F105" i="4"/>
  <c r="F76" i="4" a="1"/>
  <c r="F76" i="4" s="1"/>
  <c r="F73" i="4" a="1"/>
  <c r="F73" i="4" s="1"/>
  <c r="F79" i="4" s="1"/>
  <c r="F107" i="4" s="1"/>
  <c r="F77" i="4" a="1"/>
  <c r="F77" i="4" s="1"/>
  <c r="F73" i="5"/>
  <c r="F97" i="5" l="1"/>
  <c r="F86" i="5"/>
  <c r="F89" i="5" s="1"/>
  <c r="F85" i="5"/>
  <c r="F95" i="4"/>
  <c r="F88" i="5" l="1"/>
  <c r="F87" i="5" s="1"/>
  <c r="F91" i="5" s="1"/>
  <c r="F99" i="5" s="1"/>
  <c r="F100" i="5" s="1"/>
  <c r="F90" i="5"/>
  <c r="F96" i="4"/>
  <c r="F100" i="4" s="1"/>
  <c r="F102" i="5" l="1"/>
  <c r="F101" i="5"/>
  <c r="F99" i="4"/>
  <c r="F98" i="4"/>
  <c r="F97" i="4" s="1"/>
  <c r="F101" i="4" s="1"/>
  <c r="F109" i="4" s="1"/>
  <c r="F110" i="4" s="1"/>
  <c r="F112" i="4" l="1"/>
  <c r="F1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9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ID#AAABgimFERA
André Flores    (2025-03-20 21:53:13)
Limitado a 20%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f8Dbk0BouUhBKUs9ao8ZN+ZSShQ=="/>
    </ext>
  </extLst>
</comments>
</file>

<file path=xl/sharedStrings.xml><?xml version="1.0" encoding="utf-8"?>
<sst xmlns="http://schemas.openxmlformats.org/spreadsheetml/2006/main" count="613" uniqueCount="202">
  <si>
    <t>RAMO:</t>
  </si>
  <si>
    <t>UNIDADE GESTORA (SIGLA):</t>
  </si>
  <si>
    <t>DATA:</t>
  </si>
  <si>
    <t>XX/XX/20XX</t>
  </si>
  <si>
    <t>CUSTOS REFERENTES AOS SERVIÇOS CONTRATADOS</t>
  </si>
  <si>
    <t>Dados referentes à licitação</t>
  </si>
  <si>
    <t>Nº do Processo (X.XX.XXX.XXXXXX/XXXX-XX)</t>
  </si>
  <si>
    <t>X.XX.XXX.XXXXXX/20XX-XX</t>
  </si>
  <si>
    <t>Modalidade de Licitação nº (XX/AAAA)</t>
  </si>
  <si>
    <t>Pregão nº</t>
  </si>
  <si>
    <t>XX/20XX</t>
  </si>
  <si>
    <t>Data / Horário</t>
  </si>
  <si>
    <t>HH:MM</t>
  </si>
  <si>
    <t>Dados referentes à contratação</t>
  </si>
  <si>
    <t>A</t>
  </si>
  <si>
    <t>Data de Apresentação da Proposta (DD/MM/AAAA)</t>
  </si>
  <si>
    <t>B</t>
  </si>
  <si>
    <t>Local de Execução (Sede, Anexo I ou II, PTM, PRM)</t>
  </si>
  <si>
    <t>C</t>
  </si>
  <si>
    <t>Unidade da Federação</t>
  </si>
  <si>
    <t>D</t>
  </si>
  <si>
    <t>Acordo, Conv. ou Sentença Normativa em Dissídio Coletivo (MM/AAAA)</t>
  </si>
  <si>
    <t>E</t>
  </si>
  <si>
    <t>Número de Meses de Execução Contratual</t>
  </si>
  <si>
    <t>Identificação do serviço</t>
  </si>
  <si>
    <t>Item</t>
  </si>
  <si>
    <t>Tipo de Serviço</t>
  </si>
  <si>
    <t>Unidade de Medida</t>
  </si>
  <si>
    <t>Empregados por Posto</t>
  </si>
  <si>
    <t>Qtde Total a Contratar</t>
  </si>
  <si>
    <t>Qual a base de cálculo do adicional de insalubridade (CCT ou Salário Mínimo)?</t>
  </si>
  <si>
    <t>Mão de obra</t>
  </si>
  <si>
    <t>Classificação Brasileira de Ocupações (CBO)</t>
  </si>
  <si>
    <t>Categoria Profissional (vinculada à execução contratual)</t>
  </si>
  <si>
    <t>Data-Base da Categoria (DD/MM/AAAA)</t>
  </si>
  <si>
    <t>Salário Mínimo vigente no país (em R$)</t>
  </si>
  <si>
    <t>CUSTOS POR EMPREGADO</t>
  </si>
  <si>
    <t>MÓDULO 1: COMPOSIÇÃO DA REMUNERAÇÃO</t>
  </si>
  <si>
    <t>Composição da Remuneração</t>
  </si>
  <si>
    <t>Valor (R$) / %</t>
  </si>
  <si>
    <t>Salário-Base (em R$)</t>
  </si>
  <si>
    <t>Adicional de Periculosidade (em %)</t>
  </si>
  <si>
    <t>Adicional Noturno (em %)</t>
  </si>
  <si>
    <t>Adicional de Insalubridade (em %)</t>
  </si>
  <si>
    <t>Outras Remunerações 1 (Especificar)</t>
  </si>
  <si>
    <t>F</t>
  </si>
  <si>
    <t>Outras Remunerações 2 (Especificar)</t>
  </si>
  <si>
    <t>G</t>
  </si>
  <si>
    <t>Outras Remunerações 3 (Especificar)</t>
  </si>
  <si>
    <t>MÓDULO 2: ENCARGOS E BENEFÍCIOS ANUAIS, MENSAIS E DIÁRIOS</t>
  </si>
  <si>
    <t>Submódulo 2.2 - Encargos Previd. (GPS), FGTS e Outras Contribuições</t>
  </si>
  <si>
    <t>2.2</t>
  </si>
  <si>
    <t>Encargos Previd. (GPS), FGTS e Outras Contribuições</t>
  </si>
  <si>
    <t>Multiplicador</t>
  </si>
  <si>
    <t>FAP</t>
  </si>
  <si>
    <t>Submódulo 2.3 - Benefícios Mensais e Diários</t>
  </si>
  <si>
    <t>2.3</t>
  </si>
  <si>
    <t>Benefícios Mensais e Diários</t>
  </si>
  <si>
    <t>Frequência / Opção</t>
  </si>
  <si>
    <t>Transporte</t>
  </si>
  <si>
    <t>Diária</t>
  </si>
  <si>
    <t>Auxílio-Refeição/Alimentação</t>
  </si>
  <si>
    <t>A empresa aderiu ao PAT? Caso positivo, qual o percentual adotado?</t>
  </si>
  <si>
    <t>Outros Benefícios 1 (Especificar)</t>
  </si>
  <si>
    <t>Outros Benefícios 2 (Especificar)</t>
  </si>
  <si>
    <t>Outros Benefícios 3 (Especificar)</t>
  </si>
  <si>
    <t>Submódulo 2.4 - Intervalo Intrajornada</t>
  </si>
  <si>
    <t>2.4</t>
  </si>
  <si>
    <t>Intervalo Intrajornada</t>
  </si>
  <si>
    <t>% / Minutos</t>
  </si>
  <si>
    <t>Hora Extra (em %)</t>
  </si>
  <si>
    <t>Tempo de Intervalo para Refeição (em minutos)</t>
  </si>
  <si>
    <t>MÓDULO 4: CUSTO DE REPOSIÇÃO DO PROFISSIONAL AUSENTE</t>
  </si>
  <si>
    <t>Submódulo 4.1 - Substituto nas Ausências Legais</t>
  </si>
  <si>
    <t>4.1</t>
  </si>
  <si>
    <t>Substituto nas Ausências Legais</t>
  </si>
  <si>
    <t>%</t>
  </si>
  <si>
    <t>Outras Ausências (Especificar em %)</t>
  </si>
  <si>
    <t>Submódulo 4.2 - Substituto na Intrajornada</t>
  </si>
  <si>
    <t>4.2</t>
  </si>
  <si>
    <t>Substituto na Intrajornada</t>
  </si>
  <si>
    <t>MÓDULO 5: INSUMOS DIVERSOS</t>
  </si>
  <si>
    <t>Insumos Diversos</t>
  </si>
  <si>
    <t>Valor (R$)</t>
  </si>
  <si>
    <t>Uniformes</t>
  </si>
  <si>
    <t>Materiais</t>
  </si>
  <si>
    <t>Equipamentos</t>
  </si>
  <si>
    <t>Outros (Especificar)</t>
  </si>
  <si>
    <t>MÓDULO 6: CUSTOS INDIRETOS, TRIBUTOS E LUCRO</t>
  </si>
  <si>
    <t>Custos Indiretos, Tributos e Lucro</t>
  </si>
  <si>
    <t>Custos Indiretos</t>
  </si>
  <si>
    <t>Lucro</t>
  </si>
  <si>
    <t>C.1</t>
  </si>
  <si>
    <t>PIS</t>
  </si>
  <si>
    <t>C.2</t>
  </si>
  <si>
    <t>Cofins</t>
  </si>
  <si>
    <t>C.3</t>
  </si>
  <si>
    <t>ISS</t>
  </si>
  <si>
    <t>OBSERVAÇÃO</t>
  </si>
  <si>
    <t>Para mais informações, consulte o Referencial Técnico de Custos, constante da página da Auditoria Interna do MPU na internet (www.auditoria.mpu.mp.br).</t>
  </si>
  <si>
    <t>DADOS ESTATÍSTICOS</t>
  </si>
  <si>
    <t>Dias / Horas / Minutos</t>
  </si>
  <si>
    <t>Divisor de Horas (em horas)</t>
  </si>
  <si>
    <t>Dias na Semana</t>
  </si>
  <si>
    <t>Dias no Ano</t>
  </si>
  <si>
    <t>I</t>
  </si>
  <si>
    <t>Média Anual de Dias Trabalhados no Mês</t>
  </si>
  <si>
    <t>J</t>
  </si>
  <si>
    <t xml:space="preserve">Meses no Ano </t>
  </si>
  <si>
    <t>K</t>
  </si>
  <si>
    <t>Hora Normal (em minutos)</t>
  </si>
  <si>
    <t>L</t>
  </si>
  <si>
    <t>Hora Noturna (em minutos)</t>
  </si>
  <si>
    <t>Frequência</t>
  </si>
  <si>
    <t>Desconto Remuneração Transporte</t>
  </si>
  <si>
    <t>Mensal</t>
  </si>
  <si>
    <t>Dias Trabalhados 12 x 36 horas</t>
  </si>
  <si>
    <t>Dias Trabalhados 44 horas</t>
  </si>
  <si>
    <t>MÓDULO 3: PROVISÃO PARA RESCISÃO</t>
  </si>
  <si>
    <t>Provisão para Rescisão</t>
  </si>
  <si>
    <t>Dias / %</t>
  </si>
  <si>
    <t>Pessoas demitidas sem justa causa / Total de desligamentos (em %)</t>
  </si>
  <si>
    <t>Empregados que recebem aviso prévio indenizado (em %)</t>
  </si>
  <si>
    <t>Multa do FGTS (em %)</t>
  </si>
  <si>
    <t>Empregados que recebem aviso prévio trabalhado (em %)</t>
  </si>
  <si>
    <t>Dias no mês</t>
  </si>
  <si>
    <t>Dias de Ausências Legais</t>
  </si>
  <si>
    <t>Dias de Licença-Paternidade</t>
  </si>
  <si>
    <t>Nascidos Vivos / População Feminina (em %)</t>
  </si>
  <si>
    <t>Participação Masculina (em %)</t>
  </si>
  <si>
    <t>Empregados afastados por acidente de trabalho (em %)</t>
  </si>
  <si>
    <t>Dias pagos pela empresa em acidentes de trabalho</t>
  </si>
  <si>
    <t>Dias de Licença-Maternidade</t>
  </si>
  <si>
    <t>H</t>
  </si>
  <si>
    <t>Participação Feminina (em %)</t>
  </si>
  <si>
    <t>ENCARGOS SOCIAIS E TRABALHISTAS</t>
  </si>
  <si>
    <t>Submódulo 2.1 - 13º (décimo terceiro) Salário e Adicional de Férias</t>
  </si>
  <si>
    <t>2.1</t>
  </si>
  <si>
    <t>13º Salário e Adicional de Férias</t>
  </si>
  <si>
    <t>Memória de Cálculo</t>
  </si>
  <si>
    <t>13º Salário</t>
  </si>
  <si>
    <t>(1/12) x 100</t>
  </si>
  <si>
    <t>Adicional de Férias</t>
  </si>
  <si>
    <t>[(1/3)/12] x 100</t>
  </si>
  <si>
    <t>Submódulo 2.2 - Encargos Previdencários (GPS), Fundo de Garantia por Tempo de Serviço (FGTS) e Outras Contribuições</t>
  </si>
  <si>
    <t>Encargos Previdenciários (GPS), Fundo de Garantia por Tempo de Serviço (FGTS) e outras contribuições</t>
  </si>
  <si>
    <t>INSS</t>
  </si>
  <si>
    <t>Salário Educação</t>
  </si>
  <si>
    <t>RAT x FAP*</t>
  </si>
  <si>
    <t>SESC</t>
  </si>
  <si>
    <t>SENAC</t>
  </si>
  <si>
    <t>SEBRAE</t>
  </si>
  <si>
    <t>INCRA</t>
  </si>
  <si>
    <t>FGTS</t>
  </si>
  <si>
    <t>TOTAL</t>
  </si>
  <si>
    <t>Aviso Prévio Indenizado</t>
  </si>
  <si>
    <t>[(62,93%) x 5,55% x (1/12)] x 100</t>
  </si>
  <si>
    <t>Incidência do FGTS sobre o Aviso Prévio Indenizado</t>
  </si>
  <si>
    <t>0,29% x 8,00% x 100</t>
  </si>
  <si>
    <t>Multa do FGTS sobre o Aviso Prévio Indenizado</t>
  </si>
  <si>
    <t>[(62,93%) x 5,55%x 40%  x 8,00% x 100</t>
  </si>
  <si>
    <t>Aviso Prévio Trabalhado</t>
  </si>
  <si>
    <t>[(62,93%) x 94,45% x (7/30)/12] x 100</t>
  </si>
  <si>
    <t xml:space="preserve">Incidência dos encargos do submódulo 2.2 sobre o Aviso Prévio Trabalhado </t>
  </si>
  <si>
    <t>1,16% x 36,80% x 100</t>
  </si>
  <si>
    <t>Multa do FGTS sobre o Aviso Prévio Trabalhado</t>
  </si>
  <si>
    <t>[(62,93%) x 94,45% x 40%  x 8,00% x 100</t>
  </si>
  <si>
    <t xml:space="preserve">Substituto na Cobertura de Férias </t>
  </si>
  <si>
    <t xml:space="preserve">(1/12) x 100 </t>
  </si>
  <si>
    <t>Substituto na Cobertura de Ausências Legais</t>
  </si>
  <si>
    <t>[(8/30)/12] x 100</t>
  </si>
  <si>
    <t>Substituto na Cobertura de Licença-Paternidade</t>
  </si>
  <si>
    <t>{[(5/30)/12] x 1,416% x 45,22%} x 100</t>
  </si>
  <si>
    <t>Substituto na Cobertura de Ausência por Acidente de Trabalho</t>
  </si>
  <si>
    <t>[(15/30)/12] x 0,44%} x 100</t>
  </si>
  <si>
    <t>Substituto na Cobertura de Afastamento Maternidade</t>
  </si>
  <si>
    <t>{[(120/30)/12] x 1,416% x 54,78% x 36,80%} x 100</t>
  </si>
  <si>
    <t xml:space="preserve">*FAP - Deverá estar previsto na proposta da empresa licitante e comprovada sua incidência posteriormente. </t>
  </si>
  <si>
    <t>CUSTOS REFERENTES AO POSTO</t>
  </si>
  <si>
    <t>Nº do Processo</t>
  </si>
  <si>
    <t>Modalidade de Licitação</t>
  </si>
  <si>
    <t>DISCRIMINAÇÃO DOS SERVIÇOS (DADOS REFERENTES À CONTRATAÇÃO)</t>
  </si>
  <si>
    <t>Quantidade de Postos</t>
  </si>
  <si>
    <t>Tipo de Serviço (mesmo serviço com características distintas)</t>
  </si>
  <si>
    <t>PLANILHA DE CUSTOS E FORMAÇÃO DE PREÇOS</t>
  </si>
  <si>
    <t>EMPREGADOS POR POSTO</t>
  </si>
  <si>
    <t>Salário-Base</t>
  </si>
  <si>
    <t>Adicional de Periculosidade</t>
  </si>
  <si>
    <t>Adicional Noturno</t>
  </si>
  <si>
    <t>Adicional de Hora Noturna Reduzida (em %)</t>
  </si>
  <si>
    <t>Adicional de Insalubridade</t>
  </si>
  <si>
    <t>Substituto na Cobertura de Intervalo para Repouso e Alimentação</t>
  </si>
  <si>
    <t>Tributos</t>
  </si>
  <si>
    <t>QUADRO RESUMO - CUSTO POR EMPREGADO</t>
  </si>
  <si>
    <t>MÓD.</t>
  </si>
  <si>
    <t>Mão-de-obra vinculada à execução contratual (valor por empregado)</t>
  </si>
  <si>
    <t>Valor    (R$)</t>
  </si>
  <si>
    <t>Encargos e Benefícios Anuais, Mensais e Diários</t>
  </si>
  <si>
    <t>Custo de Reposição do Profissional Ausente</t>
  </si>
  <si>
    <t>VALOR TOTAL DO EMPREGADO</t>
  </si>
  <si>
    <t>VALOR TOTAL POR POSTO</t>
  </si>
  <si>
    <t>VALOR TOTAL DA 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</si>
</sst>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;\-#,##0.0000"/>
    <numFmt numFmtId="165" formatCode="#,##0.0"/>
    <numFmt numFmtId="166" formatCode="#,##0.00_ ;\-#,##0.00\ "/>
  </numFmts>
  <fonts count="19" x14ac:knownFonts="1">
    <font>
      <sz val="10"/>
      <color rgb="FF000000"/>
      <name val="Arial"/>
      <scheme val="minor"/>
    </font>
    <font>
      <sz val="11"/>
      <color theme="1"/>
      <name val="Segoe UI Light"/>
      <family val="2"/>
    </font>
    <font>
      <sz val="14"/>
      <color theme="1"/>
      <name val="Segoe UI Light"/>
      <family val="2"/>
    </font>
    <font>
      <sz val="10"/>
      <name val="Segoe UI Light"/>
      <family val="2"/>
    </font>
    <font>
      <sz val="10"/>
      <color rgb="FF000000"/>
      <name val="Segoe UI Light"/>
      <family val="2"/>
    </font>
    <font>
      <sz val="8"/>
      <color theme="1"/>
      <name val="Segoe UI Light"/>
      <family val="2"/>
    </font>
    <font>
      <b/>
      <sz val="16"/>
      <color rgb="FF632423"/>
      <name val="Segoe UI Light"/>
      <family val="2"/>
    </font>
    <font>
      <b/>
      <sz val="11"/>
      <color theme="0"/>
      <name val="Segoe UI Light"/>
      <family val="2"/>
    </font>
    <font>
      <b/>
      <sz val="12"/>
      <color rgb="FF632423"/>
      <name val="Segoe UI Light"/>
      <family val="2"/>
    </font>
    <font>
      <sz val="11"/>
      <color rgb="FF953734"/>
      <name val="Segoe UI Light"/>
      <family val="2"/>
    </font>
    <font>
      <b/>
      <sz val="20"/>
      <color rgb="FF953734"/>
      <name val="Segoe UI Light"/>
      <family val="2"/>
    </font>
    <font>
      <b/>
      <sz val="11"/>
      <color rgb="FF632423"/>
      <name val="Segoe UI Light"/>
      <family val="2"/>
    </font>
    <font>
      <b/>
      <sz val="11"/>
      <color theme="1"/>
      <name val="Segoe UI Light"/>
      <family val="2"/>
    </font>
    <font>
      <sz val="11"/>
      <color rgb="FFFF0000"/>
      <name val="Segoe UI Light"/>
      <family val="2"/>
    </font>
    <font>
      <b/>
      <sz val="16"/>
      <color theme="1"/>
      <name val="Segoe UI Light"/>
      <family val="2"/>
    </font>
    <font>
      <i/>
      <sz val="10"/>
      <color theme="0"/>
      <name val="Segoe UI Light"/>
      <family val="2"/>
    </font>
    <font>
      <i/>
      <sz val="10"/>
      <color theme="1"/>
      <name val="Segoe UI Light"/>
      <family val="2"/>
    </font>
    <font>
      <b/>
      <sz val="14"/>
      <color rgb="FF632423"/>
      <name val="Segoe UI Light"/>
      <family val="2"/>
    </font>
    <font>
      <b/>
      <sz val="14"/>
      <color rgb="FF953734"/>
      <name val="Segoe U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FDE9D9"/>
        <bgColor rgb="FFFDE9D9"/>
      </patternFill>
    </fill>
    <fill>
      <patternFill patternType="solid">
        <fgColor rgb="FFD55816"/>
        <bgColor rgb="FFD55816"/>
      </patternFill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F79646"/>
        <bgColor rgb="FFF79646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2F2F2"/>
      </left>
      <right/>
      <top/>
      <bottom style="thin">
        <color rgb="FFF2F2F2"/>
      </bottom>
      <diagonal/>
    </border>
    <border>
      <left/>
      <right/>
      <top/>
      <bottom style="thin">
        <color rgb="FFF2F2F2"/>
      </bottom>
      <diagonal/>
    </border>
    <border>
      <left/>
      <right style="thin">
        <color rgb="FFF2F2F2"/>
      </right>
      <top/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/>
      <diagonal/>
    </border>
    <border>
      <left/>
      <right/>
      <top style="thin">
        <color rgb="FFF2F2F2"/>
      </top>
      <bottom/>
      <diagonal/>
    </border>
    <border>
      <left/>
      <right/>
      <top style="thin">
        <color rgb="FFF2F2F2"/>
      </top>
      <bottom/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 style="thin">
        <color rgb="FFF2F2F2"/>
      </bottom>
      <diagonal/>
    </border>
    <border>
      <left/>
      <right/>
      <top/>
      <bottom style="thin">
        <color rgb="FFF2F2F2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/>
    <xf numFmtId="0" fontId="4" fillId="0" borderId="0" xfId="0" applyFont="1"/>
    <xf numFmtId="14" fontId="2" fillId="4" borderId="5" xfId="0" applyNumberFormat="1" applyFont="1" applyFill="1" applyBorder="1" applyAlignment="1">
      <alignment horizontal="right"/>
    </xf>
    <xf numFmtId="14" fontId="2" fillId="4" borderId="5" xfId="0" applyNumberFormat="1" applyFont="1" applyFill="1" applyBorder="1"/>
    <xf numFmtId="0" fontId="5" fillId="2" borderId="1" xfId="0" applyFont="1" applyFill="1" applyBorder="1"/>
    <xf numFmtId="49" fontId="1" fillId="4" borderId="12" xfId="0" applyNumberFormat="1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14" fontId="1" fillId="6" borderId="12" xfId="0" applyNumberFormat="1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/>
    </xf>
    <xf numFmtId="2" fontId="1" fillId="6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4" borderId="12" xfId="0" applyFont="1" applyFill="1" applyBorder="1"/>
    <xf numFmtId="0" fontId="1" fillId="6" borderId="12" xfId="0" applyFont="1" applyFill="1" applyBorder="1"/>
    <xf numFmtId="14" fontId="1" fillId="4" borderId="12" xfId="0" applyNumberFormat="1" applyFont="1" applyFill="1" applyBorder="1" applyAlignment="1">
      <alignment horizontal="center"/>
    </xf>
    <xf numFmtId="0" fontId="9" fillId="2" borderId="1" xfId="0" applyFont="1" applyFill="1" applyBorder="1"/>
    <xf numFmtId="37" fontId="1" fillId="6" borderId="12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39" fontId="1" fillId="2" borderId="1" xfId="0" applyNumberFormat="1" applyFont="1" applyFill="1" applyBorder="1" applyAlignment="1">
      <alignment horizontal="right"/>
    </xf>
    <xf numFmtId="0" fontId="7" fillId="5" borderId="12" xfId="0" applyFont="1" applyFill="1" applyBorder="1" applyAlignment="1">
      <alignment horizontal="center" vertical="center" wrapText="1"/>
    </xf>
    <xf numFmtId="4" fontId="1" fillId="6" borderId="12" xfId="0" applyNumberFormat="1" applyFont="1" applyFill="1" applyBorder="1" applyAlignment="1">
      <alignment horizontal="right" vertical="center" wrapText="1"/>
    </xf>
    <xf numFmtId="4" fontId="1" fillId="4" borderId="12" xfId="0" applyNumberFormat="1" applyFont="1" applyFill="1" applyBorder="1" applyAlignment="1">
      <alignment horizontal="right" vertical="center" wrapText="1"/>
    </xf>
    <xf numFmtId="4" fontId="7" fillId="5" borderId="12" xfId="0" applyNumberFormat="1" applyFont="1" applyFill="1" applyBorder="1" applyAlignment="1">
      <alignment horizontal="right" vertical="center" wrapText="1"/>
    </xf>
    <xf numFmtId="39" fontId="1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center" vertical="center" wrapText="1"/>
    </xf>
    <xf numFmtId="2" fontId="1" fillId="6" borderId="12" xfId="0" applyNumberFormat="1" applyFont="1" applyFill="1" applyBorder="1" applyAlignment="1">
      <alignment horizontal="center" vertical="center" wrapText="1"/>
    </xf>
    <xf numFmtId="39" fontId="1" fillId="6" borderId="12" xfId="0" applyNumberFormat="1" applyFont="1" applyFill="1" applyBorder="1" applyAlignment="1">
      <alignment horizontal="right" vertical="center" wrapText="1"/>
    </xf>
    <xf numFmtId="2" fontId="1" fillId="4" borderId="12" xfId="0" applyNumberFormat="1" applyFont="1" applyFill="1" applyBorder="1" applyAlignment="1">
      <alignment horizontal="center" vertical="center"/>
    </xf>
    <xf numFmtId="39" fontId="1" fillId="4" borderId="12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/>
    <xf numFmtId="4" fontId="7" fillId="5" borderId="12" xfId="0" applyNumberFormat="1" applyFont="1" applyFill="1" applyBorder="1" applyAlignment="1">
      <alignment horizontal="right"/>
    </xf>
    <xf numFmtId="2" fontId="1" fillId="4" borderId="12" xfId="0" applyNumberFormat="1" applyFont="1" applyFill="1" applyBorder="1" applyAlignment="1">
      <alignment horizontal="center" vertical="center" wrapText="1"/>
    </xf>
    <xf numFmtId="4" fontId="7" fillId="5" borderId="12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/>
    </xf>
    <xf numFmtId="39" fontId="1" fillId="6" borderId="18" xfId="0" applyNumberFormat="1" applyFont="1" applyFill="1" applyBorder="1" applyAlignment="1">
      <alignment horizontal="right" vertical="center" wrapText="1"/>
    </xf>
    <xf numFmtId="39" fontId="1" fillId="4" borderId="18" xfId="0" applyNumberFormat="1" applyFont="1" applyFill="1" applyBorder="1" applyAlignment="1">
      <alignment horizontal="right" vertical="center" wrapText="1"/>
    </xf>
    <xf numFmtId="4" fontId="7" fillId="5" borderId="18" xfId="0" applyNumberFormat="1" applyFont="1" applyFill="1" applyBorder="1" applyAlignment="1">
      <alignment horizontal="right" vertical="center" wrapText="1"/>
    </xf>
    <xf numFmtId="39" fontId="1" fillId="6" borderId="12" xfId="0" applyNumberFormat="1" applyFont="1" applyFill="1" applyBorder="1" applyAlignment="1">
      <alignment horizontal="center" vertical="center" wrapText="1"/>
    </xf>
    <xf numFmtId="39" fontId="1" fillId="4" borderId="12" xfId="0" applyNumberFormat="1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39" fontId="16" fillId="4" borderId="12" xfId="0" applyNumberFormat="1" applyFont="1" applyFill="1" applyBorder="1" applyAlignment="1">
      <alignment horizontal="center" vertical="center" wrapText="1"/>
    </xf>
    <xf numFmtId="39" fontId="16" fillId="4" borderId="12" xfId="0" applyNumberFormat="1" applyFont="1" applyFill="1" applyBorder="1" applyAlignment="1">
      <alignment horizontal="right" vertical="center" wrapText="1"/>
    </xf>
    <xf numFmtId="39" fontId="16" fillId="6" borderId="12" xfId="0" applyNumberFormat="1" applyFont="1" applyFill="1" applyBorder="1" applyAlignment="1">
      <alignment horizontal="center" vertical="center" wrapText="1"/>
    </xf>
    <xf numFmtId="39" fontId="16" fillId="6" borderId="12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wrapText="1"/>
    </xf>
    <xf numFmtId="39" fontId="7" fillId="5" borderId="12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/>
    <xf numFmtId="2" fontId="7" fillId="5" borderId="12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39" fontId="9" fillId="2" borderId="1" xfId="0" applyNumberFormat="1" applyFont="1" applyFill="1" applyBorder="1" applyAlignment="1">
      <alignment horizontal="center" vertical="center" wrapText="1"/>
    </xf>
    <xf numFmtId="3" fontId="1" fillId="6" borderId="12" xfId="0" applyNumberFormat="1" applyFont="1" applyFill="1" applyBorder="1" applyAlignment="1" applyProtection="1">
      <alignment horizontal="right" vertical="center" wrapText="1"/>
      <protection locked="0"/>
    </xf>
    <xf numFmtId="3" fontId="1" fillId="4" borderId="12" xfId="0" applyNumberFormat="1" applyFont="1" applyFill="1" applyBorder="1" applyAlignment="1" applyProtection="1">
      <alignment horizontal="right" vertical="center" wrapText="1"/>
      <protection locked="0"/>
    </xf>
    <xf numFmtId="165" fontId="1" fillId="4" borderId="12" xfId="0" applyNumberFormat="1" applyFont="1" applyFill="1" applyBorder="1" applyAlignment="1" applyProtection="1">
      <alignment horizontal="right" vertical="center" wrapText="1"/>
      <protection locked="0"/>
    </xf>
    <xf numFmtId="165" fontId="1" fillId="6" borderId="12" xfId="0" applyNumberFormat="1" applyFont="1" applyFill="1" applyBorder="1" applyAlignment="1" applyProtection="1">
      <alignment horizontal="right" vertical="center" wrapText="1"/>
      <protection locked="0"/>
    </xf>
    <xf numFmtId="37" fontId="1" fillId="6" borderId="12" xfId="0" applyNumberFormat="1" applyFont="1" applyFill="1" applyBorder="1" applyAlignment="1" applyProtection="1">
      <alignment horizontal="right" vertical="center" wrapText="1"/>
      <protection locked="0"/>
    </xf>
    <xf numFmtId="37" fontId="1" fillId="4" borderId="12" xfId="0" applyNumberFormat="1" applyFont="1" applyFill="1" applyBorder="1" applyAlignment="1" applyProtection="1">
      <alignment horizontal="right" vertical="center" wrapText="1"/>
      <protection locked="0"/>
    </xf>
    <xf numFmtId="39" fontId="1" fillId="6" borderId="12" xfId="0" applyNumberFormat="1" applyFont="1" applyFill="1" applyBorder="1" applyAlignment="1" applyProtection="1">
      <alignment horizontal="right" vertical="center" wrapText="1"/>
      <protection locked="0"/>
    </xf>
    <xf numFmtId="39" fontId="1" fillId="4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5" xfId="0" applyFont="1" applyFill="1" applyBorder="1" applyAlignment="1">
      <alignment horizontal="right"/>
    </xf>
    <xf numFmtId="0" fontId="12" fillId="7" borderId="1" xfId="0" applyFont="1" applyFill="1" applyBorder="1"/>
    <xf numFmtId="0" fontId="12" fillId="7" borderId="1" xfId="0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3" borderId="5" xfId="0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14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49" fontId="1" fillId="3" borderId="5" xfId="0" applyNumberFormat="1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2" xfId="0" applyNumberFormat="1" applyFont="1" applyFill="1" applyBorder="1" applyAlignment="1" applyProtection="1">
      <alignment horizontal="right"/>
      <protection locked="0"/>
    </xf>
    <xf numFmtId="4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3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164" fontId="1" fillId="8" borderId="12" xfId="0" applyNumberFormat="1" applyFont="1" applyFill="1" applyBorder="1" applyAlignment="1" applyProtection="1">
      <alignment horizontal="center" vertical="center" wrapText="1"/>
      <protection locked="0"/>
    </xf>
    <xf numFmtId="39" fontId="1" fillId="8" borderId="12" xfId="0" applyNumberFormat="1" applyFont="1" applyFill="1" applyBorder="1" applyAlignment="1" applyProtection="1">
      <alignment horizontal="right" vertical="center" wrapText="1"/>
      <protection locked="0"/>
    </xf>
    <xf numFmtId="1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37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39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39" fontId="1" fillId="3" borderId="12" xfId="0" applyNumberFormat="1" applyFont="1" applyFill="1" applyBorder="1" applyAlignment="1" applyProtection="1">
      <alignment horizontal="right" vertical="center" wrapText="1"/>
      <protection locked="0"/>
    </xf>
    <xf numFmtId="39" fontId="1" fillId="3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3" borderId="12" xfId="0" applyNumberFormat="1" applyFont="1" applyFill="1" applyBorder="1" applyAlignment="1" applyProtection="1">
      <alignment vertical="center" wrapText="1"/>
      <protection locked="0"/>
    </xf>
    <xf numFmtId="0" fontId="1" fillId="6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4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4" borderId="19" xfId="0" applyFont="1" applyFill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1" fillId="6" borderId="19" xfId="0" applyFont="1" applyFill="1" applyBorder="1" applyAlignment="1">
      <alignment horizontal="left" vertical="center" wrapText="1"/>
    </xf>
    <xf numFmtId="39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11" fillId="2" borderId="6" xfId="0" applyFont="1" applyFill="1" applyBorder="1" applyAlignment="1">
      <alignment horizontal="left" wrapText="1"/>
    </xf>
    <xf numFmtId="0" fontId="7" fillId="5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1" fillId="6" borderId="2" xfId="0" applyFont="1" applyFill="1" applyBorder="1" applyAlignment="1">
      <alignment horizontal="left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>
      <alignment horizontal="left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7" fillId="5" borderId="13" xfId="0" applyFont="1" applyFill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7" fillId="5" borderId="2" xfId="0" applyFont="1" applyFill="1" applyBorder="1" applyAlignment="1">
      <alignment horizontal="left" vertical="center" wrapText="1"/>
    </xf>
    <xf numFmtId="39" fontId="1" fillId="6" borderId="2" xfId="0" applyNumberFormat="1" applyFont="1" applyFill="1" applyBorder="1" applyAlignment="1">
      <alignment horizontal="left" vertical="center" wrapText="1"/>
    </xf>
    <xf numFmtId="39" fontId="1" fillId="4" borderId="2" xfId="0" applyNumberFormat="1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/>
    </xf>
    <xf numFmtId="0" fontId="7" fillId="5" borderId="19" xfId="0" applyFont="1" applyFill="1" applyBorder="1" applyAlignment="1">
      <alignment horizontal="left" vertical="center" wrapText="1"/>
    </xf>
    <xf numFmtId="4" fontId="1" fillId="8" borderId="2" xfId="0" applyNumberFormat="1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/>
    </xf>
    <xf numFmtId="4" fontId="1" fillId="4" borderId="2" xfId="0" applyNumberFormat="1" applyFont="1" applyFill="1" applyBorder="1" applyAlignment="1">
      <alignment horizontal="left" vertical="center" wrapText="1"/>
    </xf>
    <xf numFmtId="4" fontId="1" fillId="4" borderId="19" xfId="0" applyNumberFormat="1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4" fillId="0" borderId="0" xfId="0" applyFont="1"/>
    <xf numFmtId="0" fontId="1" fillId="4" borderId="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 vertical="center"/>
    </xf>
    <xf numFmtId="0" fontId="3" fillId="0" borderId="23" xfId="0" applyFont="1" applyBorder="1"/>
    <xf numFmtId="0" fontId="1" fillId="6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2"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Normal="100" workbookViewId="0">
      <selection activeCell="K7" sqref="K7"/>
    </sheetView>
  </sheetViews>
  <sheetFormatPr defaultColWidth="12.5546875" defaultRowHeight="15" x14ac:dyDescent="0.35"/>
  <cols>
    <col min="1" max="1" width="2.6640625" style="2" customWidth="1"/>
    <col min="2" max="2" width="8.88671875" style="2" customWidth="1"/>
    <col min="3" max="3" width="52.5546875" style="2" customWidth="1"/>
    <col min="4" max="4" width="9.5546875" style="2" customWidth="1"/>
    <col min="5" max="5" width="15.44140625" style="2" customWidth="1"/>
    <col min="6" max="6" width="16.5546875" style="2" customWidth="1"/>
    <col min="7" max="26" width="9.109375" style="2" customWidth="1"/>
    <col min="27" max="16384" width="12.5546875" style="2"/>
  </cols>
  <sheetData>
    <row r="1" spans="1:26" ht="20.399999999999999" x14ac:dyDescent="0.45">
      <c r="A1" s="1"/>
      <c r="B1" s="122" t="s">
        <v>0</v>
      </c>
      <c r="C1" s="118"/>
      <c r="D1" s="118"/>
      <c r="E1" s="118"/>
      <c r="F1" s="1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399999999999999" x14ac:dyDescent="0.45">
      <c r="A2" s="1"/>
      <c r="B2" s="122" t="s">
        <v>1</v>
      </c>
      <c r="C2" s="118"/>
      <c r="D2" s="119"/>
      <c r="E2" s="77" t="s">
        <v>2</v>
      </c>
      <c r="F2" s="87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4">
      <c r="A3" s="1"/>
      <c r="B3" s="5"/>
      <c r="C3" s="5"/>
      <c r="D3" s="5"/>
      <c r="E3" s="5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6" x14ac:dyDescent="0.55000000000000004">
      <c r="A4" s="5"/>
      <c r="B4" s="123" t="s">
        <v>4</v>
      </c>
      <c r="C4" s="111"/>
      <c r="D4" s="111"/>
      <c r="E4" s="111"/>
      <c r="F4" s="11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6.8" x14ac:dyDescent="0.4">
      <c r="A5" s="5"/>
      <c r="B5" s="124" t="s">
        <v>5</v>
      </c>
      <c r="C5" s="125"/>
      <c r="D5" s="125"/>
      <c r="E5" s="125"/>
      <c r="F5" s="12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8" x14ac:dyDescent="0.4">
      <c r="A6" s="5"/>
      <c r="B6" s="127" t="s">
        <v>6</v>
      </c>
      <c r="C6" s="108"/>
      <c r="D6" s="128" t="s">
        <v>7</v>
      </c>
      <c r="E6" s="118"/>
      <c r="F6" s="11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6.8" x14ac:dyDescent="0.4">
      <c r="A7" s="5"/>
      <c r="B7" s="130" t="s">
        <v>8</v>
      </c>
      <c r="C7" s="108"/>
      <c r="D7" s="129" t="s">
        <v>9</v>
      </c>
      <c r="E7" s="119"/>
      <c r="F7" s="88" t="s">
        <v>10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8" x14ac:dyDescent="0.4">
      <c r="A8" s="5"/>
      <c r="B8" s="127" t="s">
        <v>11</v>
      </c>
      <c r="C8" s="108"/>
      <c r="D8" s="131" t="s">
        <v>3</v>
      </c>
      <c r="E8" s="119"/>
      <c r="F8" s="88" t="s">
        <v>12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8" x14ac:dyDescent="0.4">
      <c r="A9" s="5"/>
      <c r="B9" s="5"/>
      <c r="C9" s="78"/>
      <c r="D9" s="79"/>
      <c r="E9" s="79"/>
      <c r="F9" s="8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8" x14ac:dyDescent="0.4">
      <c r="A10" s="5"/>
      <c r="B10" s="124" t="s">
        <v>13</v>
      </c>
      <c r="C10" s="125"/>
      <c r="D10" s="125"/>
      <c r="E10" s="125"/>
      <c r="F10" s="12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8" x14ac:dyDescent="0.4">
      <c r="A11" s="5"/>
      <c r="B11" s="7" t="s">
        <v>14</v>
      </c>
      <c r="C11" s="127" t="s">
        <v>15</v>
      </c>
      <c r="D11" s="107"/>
      <c r="E11" s="108"/>
      <c r="F11" s="89" t="s">
        <v>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8" x14ac:dyDescent="0.35">
      <c r="A12" s="5"/>
      <c r="B12" s="9" t="s">
        <v>16</v>
      </c>
      <c r="C12" s="10" t="s">
        <v>17</v>
      </c>
      <c r="D12" s="132"/>
      <c r="E12" s="118"/>
      <c r="F12" s="119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8" x14ac:dyDescent="0.4">
      <c r="A13" s="5"/>
      <c r="B13" s="7" t="s">
        <v>18</v>
      </c>
      <c r="C13" s="127" t="s">
        <v>19</v>
      </c>
      <c r="D13" s="107"/>
      <c r="E13" s="108"/>
      <c r="F13" s="90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8" x14ac:dyDescent="0.4">
      <c r="A14" s="5"/>
      <c r="B14" s="9" t="s">
        <v>20</v>
      </c>
      <c r="C14" s="109" t="s">
        <v>21</v>
      </c>
      <c r="D14" s="107"/>
      <c r="E14" s="108"/>
      <c r="F14" s="88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8" x14ac:dyDescent="0.4">
      <c r="A15" s="5"/>
      <c r="B15" s="9" t="s">
        <v>22</v>
      </c>
      <c r="C15" s="127" t="s">
        <v>23</v>
      </c>
      <c r="D15" s="107"/>
      <c r="E15" s="108"/>
      <c r="F15" s="13">
        <v>12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8" x14ac:dyDescent="0.4">
      <c r="A16" s="5"/>
      <c r="B16" s="5"/>
      <c r="C16" s="78"/>
      <c r="D16" s="79"/>
      <c r="E16" s="79"/>
      <c r="F16" s="80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8" x14ac:dyDescent="0.4">
      <c r="A17" s="5"/>
      <c r="B17" s="124" t="s">
        <v>24</v>
      </c>
      <c r="C17" s="125"/>
      <c r="D17" s="125"/>
      <c r="E17" s="125"/>
      <c r="F17" s="12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50.4" x14ac:dyDescent="0.35">
      <c r="A18" s="81"/>
      <c r="B18" s="82" t="s">
        <v>25</v>
      </c>
      <c r="C18" s="82" t="s">
        <v>26</v>
      </c>
      <c r="D18" s="83" t="s">
        <v>27</v>
      </c>
      <c r="E18" s="83" t="s">
        <v>28</v>
      </c>
      <c r="F18" s="83" t="s">
        <v>29</v>
      </c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6" ht="16.8" x14ac:dyDescent="0.4">
      <c r="A19" s="5"/>
      <c r="B19" s="7">
        <v>1</v>
      </c>
      <c r="C19" s="91"/>
      <c r="D19" s="92"/>
      <c r="E19" s="93"/>
      <c r="F19" s="9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8" x14ac:dyDescent="0.4">
      <c r="A20" s="5"/>
      <c r="B20" s="133" t="s">
        <v>30</v>
      </c>
      <c r="C20" s="134"/>
      <c r="D20" s="134"/>
      <c r="E20" s="135"/>
      <c r="F20" s="94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8" x14ac:dyDescent="0.4">
      <c r="A21" s="5"/>
      <c r="B21" s="41"/>
      <c r="C21" s="41"/>
      <c r="D21" s="41"/>
      <c r="E21" s="41"/>
      <c r="F21" s="4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6.8" x14ac:dyDescent="0.4">
      <c r="A22" s="5"/>
      <c r="B22" s="124" t="s">
        <v>31</v>
      </c>
      <c r="C22" s="125"/>
      <c r="D22" s="125"/>
      <c r="E22" s="125"/>
      <c r="F22" s="12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8" x14ac:dyDescent="0.4">
      <c r="A23" s="5"/>
      <c r="B23" s="7">
        <v>1</v>
      </c>
      <c r="C23" s="18" t="s">
        <v>32</v>
      </c>
      <c r="D23" s="128"/>
      <c r="E23" s="118"/>
      <c r="F23" s="119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6.8" x14ac:dyDescent="0.4">
      <c r="A24" s="5"/>
      <c r="B24" s="7">
        <v>2</v>
      </c>
      <c r="C24" s="17" t="s">
        <v>33</v>
      </c>
      <c r="D24" s="128"/>
      <c r="E24" s="118"/>
      <c r="F24" s="119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6.8" x14ac:dyDescent="0.4">
      <c r="A25" s="5"/>
      <c r="B25" s="7">
        <v>3</v>
      </c>
      <c r="C25" s="127" t="s">
        <v>34</v>
      </c>
      <c r="D25" s="107"/>
      <c r="E25" s="108"/>
      <c r="F25" s="89" t="s">
        <v>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8" x14ac:dyDescent="0.4">
      <c r="A26" s="5"/>
      <c r="B26" s="7">
        <v>4</v>
      </c>
      <c r="C26" s="130" t="s">
        <v>35</v>
      </c>
      <c r="D26" s="107"/>
      <c r="E26" s="108"/>
      <c r="F26" s="9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8" x14ac:dyDescent="0.4">
      <c r="A27" s="5"/>
      <c r="B27" s="84"/>
      <c r="C27" s="85"/>
      <c r="D27" s="85"/>
      <c r="E27" s="85"/>
      <c r="F27" s="8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4.6" x14ac:dyDescent="0.55000000000000004">
      <c r="A28" s="1"/>
      <c r="B28" s="63" t="s">
        <v>36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8" x14ac:dyDescent="0.4">
      <c r="A29" s="1"/>
      <c r="B29" s="22" t="s">
        <v>37</v>
      </c>
      <c r="C29" s="1"/>
      <c r="D29" s="1"/>
      <c r="E29" s="23"/>
      <c r="F29" s="2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8" x14ac:dyDescent="0.4">
      <c r="A30" s="1"/>
      <c r="B30" s="9">
        <v>1</v>
      </c>
      <c r="C30" s="136" t="s">
        <v>38</v>
      </c>
      <c r="D30" s="107"/>
      <c r="E30" s="108"/>
      <c r="F30" s="24" t="s">
        <v>39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8" x14ac:dyDescent="0.4">
      <c r="A31" s="1"/>
      <c r="B31" s="9" t="s">
        <v>14</v>
      </c>
      <c r="C31" s="137" t="s">
        <v>40</v>
      </c>
      <c r="D31" s="107"/>
      <c r="E31" s="108"/>
      <c r="F31" s="9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8" x14ac:dyDescent="0.4">
      <c r="A32" s="1"/>
      <c r="B32" s="9" t="s">
        <v>16</v>
      </c>
      <c r="C32" s="109" t="s">
        <v>41</v>
      </c>
      <c r="D32" s="107"/>
      <c r="E32" s="108"/>
      <c r="F32" s="9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8" x14ac:dyDescent="0.4">
      <c r="A33" s="1"/>
      <c r="B33" s="9" t="s">
        <v>18</v>
      </c>
      <c r="C33" s="137" t="s">
        <v>42</v>
      </c>
      <c r="D33" s="107"/>
      <c r="E33" s="108"/>
      <c r="F33" s="9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8" x14ac:dyDescent="0.4">
      <c r="A34" s="1"/>
      <c r="B34" s="9" t="s">
        <v>20</v>
      </c>
      <c r="C34" s="138" t="s">
        <v>43</v>
      </c>
      <c r="D34" s="107"/>
      <c r="E34" s="108"/>
      <c r="F34" s="9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8" x14ac:dyDescent="0.4">
      <c r="A35" s="1"/>
      <c r="B35" s="9" t="s">
        <v>22</v>
      </c>
      <c r="C35" s="117" t="s">
        <v>44</v>
      </c>
      <c r="D35" s="118"/>
      <c r="E35" s="119"/>
      <c r="F35" s="9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8" x14ac:dyDescent="0.4">
      <c r="A36" s="1"/>
      <c r="B36" s="9" t="s">
        <v>45</v>
      </c>
      <c r="C36" s="117" t="s">
        <v>46</v>
      </c>
      <c r="D36" s="118"/>
      <c r="E36" s="119"/>
      <c r="F36" s="9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8" x14ac:dyDescent="0.4">
      <c r="A37" s="36"/>
      <c r="B37" s="9" t="s">
        <v>47</v>
      </c>
      <c r="C37" s="117" t="s">
        <v>48</v>
      </c>
      <c r="D37" s="118"/>
      <c r="E37" s="119"/>
      <c r="F37" s="9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6.8" x14ac:dyDescent="0.4">
      <c r="A38" s="1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6.8" x14ac:dyDescent="0.4">
      <c r="A39" s="36"/>
      <c r="B39" s="22" t="s">
        <v>49</v>
      </c>
      <c r="C39" s="1"/>
      <c r="D39" s="1"/>
      <c r="E39" s="28"/>
      <c r="F39" s="28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16.8" x14ac:dyDescent="0.4">
      <c r="A40" s="1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6.8" x14ac:dyDescent="0.4">
      <c r="A41" s="1"/>
      <c r="B41" s="22" t="s">
        <v>50</v>
      </c>
      <c r="C41" s="5"/>
      <c r="D41" s="5"/>
      <c r="E41" s="5"/>
      <c r="F41" s="5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6.8" x14ac:dyDescent="0.4">
      <c r="A42" s="1"/>
      <c r="B42" s="9" t="s">
        <v>51</v>
      </c>
      <c r="C42" s="136" t="s">
        <v>52</v>
      </c>
      <c r="D42" s="107"/>
      <c r="E42" s="108"/>
      <c r="F42" s="24" t="s">
        <v>53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16.8" x14ac:dyDescent="0.4">
      <c r="A43" s="36"/>
      <c r="B43" s="66" t="s">
        <v>18</v>
      </c>
      <c r="C43" s="127" t="s">
        <v>54</v>
      </c>
      <c r="D43" s="107"/>
      <c r="E43" s="108"/>
      <c r="F43" s="98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16.8" x14ac:dyDescent="0.4">
      <c r="A44" s="1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6.8" x14ac:dyDescent="0.4">
      <c r="A45" s="1"/>
      <c r="B45" s="22" t="s">
        <v>55</v>
      </c>
      <c r="C45" s="5"/>
      <c r="D45" s="5"/>
      <c r="E45" s="5"/>
      <c r="F45" s="5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33.6" x14ac:dyDescent="0.4">
      <c r="A46" s="1"/>
      <c r="B46" s="9" t="s">
        <v>56</v>
      </c>
      <c r="C46" s="136" t="s">
        <v>57</v>
      </c>
      <c r="D46" s="108"/>
      <c r="E46" s="24" t="s">
        <v>58</v>
      </c>
      <c r="F46" s="24" t="s">
        <v>39</v>
      </c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6.8" x14ac:dyDescent="0.4">
      <c r="A47" s="36"/>
      <c r="B47" s="66" t="s">
        <v>14</v>
      </c>
      <c r="C47" s="127" t="s">
        <v>59</v>
      </c>
      <c r="D47" s="108"/>
      <c r="E47" s="13" t="s">
        <v>60</v>
      </c>
      <c r="F47" s="99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6.8" x14ac:dyDescent="0.4">
      <c r="A48" s="36"/>
      <c r="B48" s="66" t="s">
        <v>16</v>
      </c>
      <c r="C48" s="130" t="s">
        <v>61</v>
      </c>
      <c r="D48" s="108"/>
      <c r="E48" s="12" t="s">
        <v>60</v>
      </c>
      <c r="F48" s="99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16.8" x14ac:dyDescent="0.4">
      <c r="A49" s="1"/>
      <c r="B49" s="139" t="s">
        <v>62</v>
      </c>
      <c r="C49" s="107"/>
      <c r="D49" s="108"/>
      <c r="E49" s="101"/>
      <c r="F49" s="10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8" x14ac:dyDescent="0.4">
      <c r="A50" s="1"/>
      <c r="B50" s="66" t="s">
        <v>18</v>
      </c>
      <c r="C50" s="117" t="s">
        <v>63</v>
      </c>
      <c r="D50" s="119"/>
      <c r="E50" s="102"/>
      <c r="F50" s="9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8" x14ac:dyDescent="0.4">
      <c r="A51" s="1"/>
      <c r="B51" s="66" t="s">
        <v>20</v>
      </c>
      <c r="C51" s="117" t="s">
        <v>64</v>
      </c>
      <c r="D51" s="119"/>
      <c r="E51" s="102"/>
      <c r="F51" s="9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8" x14ac:dyDescent="0.4">
      <c r="A52" s="36"/>
      <c r="B52" s="66" t="s">
        <v>22</v>
      </c>
      <c r="C52" s="117" t="s">
        <v>65</v>
      </c>
      <c r="D52" s="119"/>
      <c r="E52" s="102"/>
      <c r="F52" s="9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6.8" x14ac:dyDescent="0.4">
      <c r="A53" s="1"/>
      <c r="B53" s="36"/>
      <c r="C53" s="36"/>
      <c r="D53" s="36"/>
      <c r="E53" s="36"/>
      <c r="F53" s="3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" x14ac:dyDescent="0.4">
      <c r="A54" s="1"/>
      <c r="B54" s="22" t="s">
        <v>66</v>
      </c>
      <c r="C54" s="29"/>
      <c r="D54" s="30"/>
      <c r="E54" s="31"/>
      <c r="F54" s="3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8" x14ac:dyDescent="0.4">
      <c r="A55" s="1"/>
      <c r="B55" s="9" t="s">
        <v>67</v>
      </c>
      <c r="C55" s="121" t="s">
        <v>68</v>
      </c>
      <c r="D55" s="107"/>
      <c r="E55" s="108"/>
      <c r="F55" s="24" t="s">
        <v>69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8" x14ac:dyDescent="0.4">
      <c r="A56" s="1"/>
      <c r="B56" s="9" t="s">
        <v>14</v>
      </c>
      <c r="C56" s="137" t="s">
        <v>70</v>
      </c>
      <c r="D56" s="107"/>
      <c r="E56" s="108"/>
      <c r="F56" s="9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8" x14ac:dyDescent="0.4">
      <c r="A57" s="36"/>
      <c r="B57" s="9" t="s">
        <v>16</v>
      </c>
      <c r="C57" s="109" t="s">
        <v>71</v>
      </c>
      <c r="D57" s="107"/>
      <c r="E57" s="108"/>
      <c r="F57" s="97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6.8" x14ac:dyDescent="0.4">
      <c r="A58" s="5"/>
      <c r="B58" s="36"/>
      <c r="C58" s="36"/>
      <c r="D58" s="36"/>
      <c r="E58" s="36"/>
      <c r="F58" s="3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8" x14ac:dyDescent="0.4">
      <c r="A59" s="5"/>
      <c r="B59" s="22" t="s">
        <v>72</v>
      </c>
      <c r="C59" s="29"/>
      <c r="D59" s="30"/>
      <c r="E59" s="1"/>
      <c r="F59" s="1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8" x14ac:dyDescent="0.4">
      <c r="A60" s="5"/>
      <c r="B60" s="22" t="s">
        <v>73</v>
      </c>
      <c r="C60" s="29"/>
      <c r="D60" s="30"/>
      <c r="E60" s="31"/>
      <c r="F60" s="3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8" x14ac:dyDescent="0.4">
      <c r="A61" s="36"/>
      <c r="B61" s="9" t="s">
        <v>74</v>
      </c>
      <c r="C61" s="136" t="s">
        <v>75</v>
      </c>
      <c r="D61" s="107"/>
      <c r="E61" s="108"/>
      <c r="F61" s="24" t="s">
        <v>76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6.8" x14ac:dyDescent="0.4">
      <c r="A62" s="1"/>
      <c r="B62" s="24" t="s">
        <v>14</v>
      </c>
      <c r="C62" s="141" t="s">
        <v>77</v>
      </c>
      <c r="D62" s="118"/>
      <c r="E62" s="119"/>
      <c r="F62" s="10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8" x14ac:dyDescent="0.4">
      <c r="A63" s="1"/>
      <c r="B63" s="36"/>
      <c r="C63" s="36"/>
      <c r="D63" s="36"/>
      <c r="E63" s="36"/>
      <c r="F63" s="3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8" x14ac:dyDescent="0.4">
      <c r="A64" s="1"/>
      <c r="B64" s="22" t="s">
        <v>78</v>
      </c>
      <c r="C64" s="29"/>
      <c r="D64" s="30"/>
      <c r="E64" s="31"/>
      <c r="F64" s="3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8" x14ac:dyDescent="0.4">
      <c r="A65" s="36"/>
      <c r="B65" s="9" t="s">
        <v>79</v>
      </c>
      <c r="C65" s="121" t="s">
        <v>80</v>
      </c>
      <c r="D65" s="107"/>
      <c r="E65" s="108"/>
      <c r="F65" s="24" t="s">
        <v>69</v>
      </c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6.8" x14ac:dyDescent="0.4">
      <c r="A66" s="1"/>
      <c r="B66" s="9" t="s">
        <v>14</v>
      </c>
      <c r="C66" s="109" t="s">
        <v>71</v>
      </c>
      <c r="D66" s="107"/>
      <c r="E66" s="108"/>
      <c r="F66" s="9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8" x14ac:dyDescent="0.4">
      <c r="A67" s="1"/>
      <c r="B67" s="36"/>
      <c r="C67" s="36"/>
      <c r="D67" s="36"/>
      <c r="E67" s="36"/>
      <c r="F67" s="3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8" x14ac:dyDescent="0.4">
      <c r="A68" s="1"/>
      <c r="B68" s="22" t="s">
        <v>81</v>
      </c>
      <c r="C68" s="29"/>
      <c r="D68" s="29"/>
      <c r="E68" s="31"/>
      <c r="F68" s="3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8" x14ac:dyDescent="0.4">
      <c r="A69" s="1"/>
      <c r="B69" s="43">
        <v>5</v>
      </c>
      <c r="C69" s="140" t="s">
        <v>82</v>
      </c>
      <c r="D69" s="114"/>
      <c r="E69" s="115"/>
      <c r="F69" s="44" t="s">
        <v>83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8" x14ac:dyDescent="0.4">
      <c r="A70" s="1"/>
      <c r="B70" s="45" t="s">
        <v>14</v>
      </c>
      <c r="C70" s="116" t="s">
        <v>84</v>
      </c>
      <c r="D70" s="114"/>
      <c r="E70" s="115"/>
      <c r="F70" s="104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6.8" x14ac:dyDescent="0.4">
      <c r="A71" s="1"/>
      <c r="B71" s="45" t="s">
        <v>16</v>
      </c>
      <c r="C71" s="113" t="s">
        <v>85</v>
      </c>
      <c r="D71" s="114"/>
      <c r="E71" s="115"/>
      <c r="F71" s="104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1:26" ht="16.8" x14ac:dyDescent="0.4">
      <c r="A72" s="36"/>
      <c r="B72" s="45" t="s">
        <v>18</v>
      </c>
      <c r="C72" s="116" t="s">
        <v>86</v>
      </c>
      <c r="D72" s="114"/>
      <c r="E72" s="115"/>
      <c r="F72" s="104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6.8" x14ac:dyDescent="0.4">
      <c r="A73" s="1"/>
      <c r="B73" s="45" t="s">
        <v>20</v>
      </c>
      <c r="C73" s="117" t="s">
        <v>87</v>
      </c>
      <c r="D73" s="118"/>
      <c r="E73" s="119"/>
      <c r="F73" s="96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16.8" x14ac:dyDescent="0.4">
      <c r="A74" s="1"/>
      <c r="B74" s="36"/>
      <c r="C74" s="36"/>
      <c r="D74" s="36"/>
      <c r="E74" s="36"/>
      <c r="F74" s="36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6.8" x14ac:dyDescent="0.4">
      <c r="A75" s="56"/>
      <c r="B75" s="120" t="s">
        <v>88</v>
      </c>
      <c r="C75" s="111"/>
      <c r="D75" s="111"/>
      <c r="E75" s="111"/>
      <c r="F75" s="11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6.8" x14ac:dyDescent="0.4">
      <c r="A76" s="56"/>
      <c r="B76" s="9">
        <v>6</v>
      </c>
      <c r="C76" s="121" t="s">
        <v>89</v>
      </c>
      <c r="D76" s="107"/>
      <c r="E76" s="108"/>
      <c r="F76" s="24" t="s">
        <v>76</v>
      </c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6.8" x14ac:dyDescent="0.4">
      <c r="A77" s="61"/>
      <c r="B77" s="9" t="s">
        <v>14</v>
      </c>
      <c r="C77" s="106" t="s">
        <v>90</v>
      </c>
      <c r="D77" s="107"/>
      <c r="E77" s="108"/>
      <c r="F77" s="105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6.8" x14ac:dyDescent="0.4">
      <c r="A78" s="1"/>
      <c r="B78" s="24" t="s">
        <v>16</v>
      </c>
      <c r="C78" s="109" t="s">
        <v>91</v>
      </c>
      <c r="D78" s="107"/>
      <c r="E78" s="108"/>
      <c r="F78" s="10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8" x14ac:dyDescent="0.4">
      <c r="A79" s="1"/>
      <c r="B79" s="51" t="s">
        <v>92</v>
      </c>
      <c r="C79" s="106" t="s">
        <v>93</v>
      </c>
      <c r="D79" s="107"/>
      <c r="E79" s="108"/>
      <c r="F79" s="10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8" x14ac:dyDescent="0.4">
      <c r="A80" s="36"/>
      <c r="B80" s="51" t="s">
        <v>94</v>
      </c>
      <c r="C80" s="109" t="s">
        <v>95</v>
      </c>
      <c r="D80" s="107"/>
      <c r="E80" s="108"/>
      <c r="F80" s="105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6.8" x14ac:dyDescent="0.4">
      <c r="A81" s="1"/>
      <c r="B81" s="51" t="s">
        <v>96</v>
      </c>
      <c r="C81" s="106" t="s">
        <v>97</v>
      </c>
      <c r="D81" s="107"/>
      <c r="E81" s="108"/>
      <c r="F81" s="10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8" x14ac:dyDescent="0.4">
      <c r="A82" s="1"/>
      <c r="B82" s="36"/>
      <c r="C82" s="36"/>
      <c r="D82" s="36"/>
      <c r="E82" s="36"/>
      <c r="F82" s="3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399999999999999" x14ac:dyDescent="0.4">
      <c r="A83" s="1"/>
      <c r="B83" s="65" t="s">
        <v>98</v>
      </c>
      <c r="C83" s="67"/>
      <c r="D83" s="67"/>
      <c r="E83" s="67"/>
      <c r="F83" s="6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8" x14ac:dyDescent="0.4">
      <c r="A84" s="1"/>
      <c r="B84" s="110" t="s">
        <v>99</v>
      </c>
      <c r="C84" s="111"/>
      <c r="D84" s="111"/>
      <c r="E84" s="111"/>
      <c r="F84" s="11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8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8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8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8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8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8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8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8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8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8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8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8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8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8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8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8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8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8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8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8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8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8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8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8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8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8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8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8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8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8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8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8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8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8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8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8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8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8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8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8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8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8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8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8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8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8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8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8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8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8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8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8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8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8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8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8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8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8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8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8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8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8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8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8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8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8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8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8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8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8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8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8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8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8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8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8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8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8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8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8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8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8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8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8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8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8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8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8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8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8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8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8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8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8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8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8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8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8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8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8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8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8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8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8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8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8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8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8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8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8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8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8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8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8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8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8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8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8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8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8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8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8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8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8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8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8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8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8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8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8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8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8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8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8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8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8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8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8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8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8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8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8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8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8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8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8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8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8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8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8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8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8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8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8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8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8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8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8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8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8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8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8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8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8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8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8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8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8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8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8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8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8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8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8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8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8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8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8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8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8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8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8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8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8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8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8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8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8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8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8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8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8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8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8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8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8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8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8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8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8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8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8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8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8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8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8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8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8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8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8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8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8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8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8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8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8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8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8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8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8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8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8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8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8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8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8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8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8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8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8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8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8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8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8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8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8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8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8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8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8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8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8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8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8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8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8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8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8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8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8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8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8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8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8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8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8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8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8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8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8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8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8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8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8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8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8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8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8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8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8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8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8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8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8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8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8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8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8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8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8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8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8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8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8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8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8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8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8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8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8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8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8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8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8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8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8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8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8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8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8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8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8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8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8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8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8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8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8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8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8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8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8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8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8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8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8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8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8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8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8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8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8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8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8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8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8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8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8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8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8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8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8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8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8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8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8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8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8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8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8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8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8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8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8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8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8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8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8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8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8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8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8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8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8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8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8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8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8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8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8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8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8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8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8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8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8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8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8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8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8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8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8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8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8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8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8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8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8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8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8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8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8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8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8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8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8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8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8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8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8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8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8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8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8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8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8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8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8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8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8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8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8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8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8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8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8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8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8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8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8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8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8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8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8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8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8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8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8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8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8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8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8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8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8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8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8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8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8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8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8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8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8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8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8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8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8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8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8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8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8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8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8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8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8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8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8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8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8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8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8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8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8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8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8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8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8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8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8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8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8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8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8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8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8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8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8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8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8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8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8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8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8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8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8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8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8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8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8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8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8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8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8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8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8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8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8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8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8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8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8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8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8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8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8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8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8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8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8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8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8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8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0">
    <mergeCell ref="C66:E66"/>
    <mergeCell ref="C69:E69"/>
    <mergeCell ref="C70:E70"/>
    <mergeCell ref="C56:E56"/>
    <mergeCell ref="C57:E57"/>
    <mergeCell ref="C61:E61"/>
    <mergeCell ref="C62:E62"/>
    <mergeCell ref="C65:E65"/>
    <mergeCell ref="B49:D49"/>
    <mergeCell ref="C50:D50"/>
    <mergeCell ref="C51:D51"/>
    <mergeCell ref="C52:D52"/>
    <mergeCell ref="C55:E55"/>
    <mergeCell ref="C42:E42"/>
    <mergeCell ref="C43:E43"/>
    <mergeCell ref="C46:D46"/>
    <mergeCell ref="C47:D47"/>
    <mergeCell ref="C48:D48"/>
    <mergeCell ref="C33:E33"/>
    <mergeCell ref="C34:E34"/>
    <mergeCell ref="C35:E35"/>
    <mergeCell ref="C36:E36"/>
    <mergeCell ref="C37:E37"/>
    <mergeCell ref="C25:E25"/>
    <mergeCell ref="C26:E26"/>
    <mergeCell ref="C30:E30"/>
    <mergeCell ref="C31:E31"/>
    <mergeCell ref="C32:E32"/>
    <mergeCell ref="B17:F17"/>
    <mergeCell ref="B20:E20"/>
    <mergeCell ref="B22:F22"/>
    <mergeCell ref="D23:F23"/>
    <mergeCell ref="D24:F24"/>
    <mergeCell ref="C11:E11"/>
    <mergeCell ref="D12:F12"/>
    <mergeCell ref="C13:E13"/>
    <mergeCell ref="C14:E14"/>
    <mergeCell ref="C15:E15"/>
    <mergeCell ref="D7:E7"/>
    <mergeCell ref="B7:C7"/>
    <mergeCell ref="B8:C8"/>
    <mergeCell ref="D8:E8"/>
    <mergeCell ref="B10:F10"/>
    <mergeCell ref="B1:F1"/>
    <mergeCell ref="B2:D2"/>
    <mergeCell ref="B4:F4"/>
    <mergeCell ref="B5:F5"/>
    <mergeCell ref="B6:C6"/>
    <mergeCell ref="D6:F6"/>
    <mergeCell ref="C79:E79"/>
    <mergeCell ref="C80:E80"/>
    <mergeCell ref="C81:E81"/>
    <mergeCell ref="B84:F84"/>
    <mergeCell ref="C71:E71"/>
    <mergeCell ref="C72:E72"/>
    <mergeCell ref="C73:E73"/>
    <mergeCell ref="B75:F75"/>
    <mergeCell ref="C76:E76"/>
    <mergeCell ref="C77:E77"/>
    <mergeCell ref="C78:E78"/>
  </mergeCells>
  <dataValidations count="15">
    <dataValidation type="decimal" allowBlank="1" showInputMessage="1" prompt="Erro na inserção de dados. - O percentual recomendado de lucro é de 5,57%, conforme estudos realizados pela Auditoria Interna do MPU." sqref="F78" xr:uid="{00000000-0002-0000-0000-000000000000}">
      <formula1>0</formula1>
      <formula2>5.57</formula2>
    </dataValidation>
    <dataValidation type="list" allowBlank="1" showErrorMessage="1" sqref="F13" xr:uid="{00000000-0002-0000-0000-000001000000}">
      <formula1>"AC,AL,AP,AM,BA,CE,DF,ES,GO,MA,MG,MS,MT,PA,PB,PR,PE,PI,RJ,RN,RO,RR,RS,SC,SP,SE,TO"</formula1>
    </dataValidation>
    <dataValidation type="decimal" allowBlank="1" showInputMessage="1" prompt="Erro na inserção de dados. - O percentual recomendado de custos indiretos é de 4,73%, conforme estudos realizados pela Auditoria Interna do MPU." sqref="F77" xr:uid="{00000000-0002-0000-0000-000002000000}">
      <formula1>0</formula1>
      <formula2>4.73</formula2>
    </dataValidation>
    <dataValidation type="list" allowBlank="1" showInputMessage="1" prompt="Atenção! - Se a resposta for &quot;Sim&quot;, deverá ser incluído o percentual do PAT na coluna ao lado. Caso seja &quot;Não&quot;, não há necessidade." sqref="E49" xr:uid="{00000000-0002-0000-0000-000003000000}">
      <formula1>"Sim,Não"</formula1>
    </dataValidation>
    <dataValidation type="decimal" operator="greaterThanOrEqual" allowBlank="1" showInputMessage="1" showErrorMessage="1" prompt="Intervalo Intrajornada - Segundo estudos da Audin-MPU, esse item não é usual nas planilhas do MPU. Verifique se realmente há necessidade de incluí-lo." sqref="F56" xr:uid="{00000000-0002-0000-0000-000004000000}">
      <formula1>50</formula1>
    </dataValidation>
    <dataValidation type="decimal" operator="greaterThanOrEqual" allowBlank="1" showInputMessage="1" prompt="Atentar para o valor do salário. - Tem certeza que o valor do salário-base é menor do que o salário mínimo vigente no país?" sqref="F31" xr:uid="{00000000-0002-0000-0000-000005000000}">
      <formula1>F26</formula1>
    </dataValidation>
    <dataValidation type="decimal" allowBlank="1" showInputMessage="1" showErrorMessage="1" prompt="Erro na inserção de dados - O FAP é um multiplicador, atualmente calculado por estabelecimento, que varia de 0,5000 a 2,0000, conforme previsto no art. 10 da Lei nº 10.666/03." sqref="F43" xr:uid="{00000000-0002-0000-0000-000006000000}">
      <formula1>0.5</formula1>
      <formula2>2</formula2>
    </dataValidation>
    <dataValidation type="decimal" operator="equal" allowBlank="1" showInputMessage="1" prompt="Intervalo Intrajornada - Segundo estudos da Audin-MPU, esse item não é usual nas planilhas do MPU. Verifique se realmente há necessidade de incluí-lo." sqref="F66" xr:uid="{00000000-0002-0000-0000-000007000000}">
      <formula1>0</formula1>
    </dataValidation>
    <dataValidation type="decimal" allowBlank="1" showInputMessage="1" showErrorMessage="1" prompt="Erro na inserção de dados. - O percentual de ISS deve estar entre 2 e 5%, conforme o inciso I do artigo 8º e o caput do art. 8º-A da Lei Complementar nº 116/2003." sqref="F81" xr:uid="{00000000-0002-0000-0000-000008000000}">
      <formula1>2</formula1>
      <formula2>5</formula2>
    </dataValidation>
    <dataValidation type="list" allowBlank="1" showInputMessage="1" showErrorMessage="1" prompt="Erro na inserção de dados. - De acordo com o art. 192 da CLT, estão previstos somente os percentuais de 40% (máximo), 20% (médio) ou 10% (mínimo), conforme for a exposição ao risco." sqref="F34" xr:uid="{00000000-0002-0000-0000-000009000000}">
      <formula1>"0,10,20,40"</formula1>
    </dataValidation>
    <dataValidation type="decimal" operator="equal" allowBlank="1" showInputMessage="1" prompt="Atentar para o percentual. - Tem certeza que o percentual do Cofins é diferente de 3%, previsto no art. 31 da Lei nº 10.833/2003?" sqref="F80" xr:uid="{00000000-0002-0000-0000-00000A000000}">
      <formula1>3</formula1>
    </dataValidation>
    <dataValidation type="list" allowBlank="1" showInputMessage="1" prompt="Atentar para a base de cálculo. - Tem certeza que o adicional de insalubridade tem como base de cálculo o salário normativo previsto na CCT?" sqref="F20" xr:uid="{00000000-0002-0000-0000-00000B000000}">
      <formula1>"CCT,Salário Mínimo"</formula1>
    </dataValidation>
    <dataValidation type="decimal" allowBlank="1" showInputMessage="1" prompt="Intervalo Intrajornada - Segundo estudos da Audin-MPU, esse item não é usual nas planilhas do MPU. Verifique se realmente há necessidade de incluí-lo." sqref="F57" xr:uid="{00000000-0002-0000-0000-00000C000000}">
      <formula1>30</formula1>
      <formula2>60</formula2>
    </dataValidation>
    <dataValidation type="decimal" operator="equal" allowBlank="1" showInputMessage="1" prompt="Atentar para o percentual. - Tem certeza que o percentual do PIS é diferente de 0,65%, previsto no art. 31 da Lei nº 10.833/2003?" sqref="F79" xr:uid="{00000000-0002-0000-0000-00000D000000}">
      <formula1>0.65</formula1>
    </dataValidation>
    <dataValidation type="decimal" operator="lessThanOrEqual" allowBlank="1" showInputMessage="1" showErrorMessage="1" prompt="Erro na inserção de dados. - O percentual máximo de desconto para empresas que aderem ao Programa de Assistência ao Trabalhador (PAT) é de 20%, conforme o disposto no art. 645, § 2º, do Decreto nº 9.580/18." sqref="F49" xr:uid="{00000000-0002-0000-0000-00000E000000}">
      <formula1>20</formula1>
    </dataValidation>
  </dataValidations>
  <printOptions horizontalCentered="1"/>
  <pageMargins left="0.78740157480314965" right="0.78740157480314965" top="0.78740157480314965" bottom="0.78740157480314965" header="0" footer="0"/>
  <pageSetup paperSize="9" scale="83" fitToHeight="3" orientation="portrait" r:id="rId1"/>
  <colBreaks count="1" manualBreakCount="1">
    <brk id="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Normal="100" workbookViewId="0">
      <selection sqref="A1:XFD1048576"/>
    </sheetView>
  </sheetViews>
  <sheetFormatPr defaultColWidth="12.5546875" defaultRowHeight="15" x14ac:dyDescent="0.35"/>
  <cols>
    <col min="1" max="1" width="2.6640625" style="2" customWidth="1"/>
    <col min="2" max="2" width="8.88671875" style="2" customWidth="1"/>
    <col min="3" max="3" width="52.5546875" style="2" customWidth="1"/>
    <col min="4" max="4" width="9.5546875" style="2" customWidth="1"/>
    <col min="5" max="5" width="13.5546875" style="2" customWidth="1"/>
    <col min="6" max="6" width="15.44140625" style="2" customWidth="1"/>
    <col min="7" max="26" width="9.109375" style="2" customWidth="1"/>
    <col min="27" max="16384" width="12.5546875" style="2"/>
  </cols>
  <sheetData>
    <row r="1" spans="1:26" ht="24.6" x14ac:dyDescent="0.55000000000000004">
      <c r="A1" s="5"/>
      <c r="B1" s="63" t="s">
        <v>100</v>
      </c>
      <c r="C1" s="1"/>
      <c r="D1" s="1"/>
      <c r="E1" s="1"/>
      <c r="F1" s="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6.8" x14ac:dyDescent="0.4">
      <c r="A2" s="1"/>
      <c r="B2" s="22" t="s">
        <v>37</v>
      </c>
      <c r="C2" s="1"/>
      <c r="D2" s="1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6" x14ac:dyDescent="0.4">
      <c r="A3" s="1"/>
      <c r="B3" s="9">
        <v>1</v>
      </c>
      <c r="C3" s="136" t="s">
        <v>38</v>
      </c>
      <c r="D3" s="107"/>
      <c r="E3" s="108"/>
      <c r="F3" s="24" t="s">
        <v>101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4">
      <c r="A4" s="1"/>
      <c r="B4" s="9" t="s">
        <v>22</v>
      </c>
      <c r="C4" s="106" t="s">
        <v>102</v>
      </c>
      <c r="D4" s="107"/>
      <c r="E4" s="108"/>
      <c r="F4" s="69">
        <v>220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4">
      <c r="A5" s="1"/>
      <c r="B5" s="9" t="s">
        <v>45</v>
      </c>
      <c r="C5" s="138" t="s">
        <v>103</v>
      </c>
      <c r="D5" s="107"/>
      <c r="E5" s="108"/>
      <c r="F5" s="70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4">
      <c r="A6" s="1"/>
      <c r="B6" s="9" t="s">
        <v>47</v>
      </c>
      <c r="C6" s="106" t="s">
        <v>104</v>
      </c>
      <c r="D6" s="107"/>
      <c r="E6" s="108"/>
      <c r="F6" s="69">
        <v>365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8" x14ac:dyDescent="0.4">
      <c r="A7" s="1"/>
      <c r="B7" s="9" t="s">
        <v>105</v>
      </c>
      <c r="C7" s="138" t="s">
        <v>106</v>
      </c>
      <c r="D7" s="107"/>
      <c r="E7" s="108"/>
      <c r="F7" s="71">
        <v>15.2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8" x14ac:dyDescent="0.4">
      <c r="A8" s="1"/>
      <c r="B8" s="9" t="s">
        <v>107</v>
      </c>
      <c r="C8" s="106" t="s">
        <v>108</v>
      </c>
      <c r="D8" s="107"/>
      <c r="E8" s="108"/>
      <c r="F8" s="69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8" x14ac:dyDescent="0.4">
      <c r="A9" s="1"/>
      <c r="B9" s="9" t="s">
        <v>109</v>
      </c>
      <c r="C9" s="138" t="s">
        <v>110</v>
      </c>
      <c r="D9" s="107"/>
      <c r="E9" s="108"/>
      <c r="F9" s="70">
        <v>60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8" x14ac:dyDescent="0.4">
      <c r="A10" s="1"/>
      <c r="B10" s="9" t="s">
        <v>111</v>
      </c>
      <c r="C10" s="106" t="s">
        <v>112</v>
      </c>
      <c r="D10" s="107"/>
      <c r="E10" s="108"/>
      <c r="F10" s="72">
        <v>52.5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8" x14ac:dyDescent="0.4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16.8" x14ac:dyDescent="0.4">
      <c r="A12" s="1"/>
      <c r="B12" s="22" t="s">
        <v>55</v>
      </c>
      <c r="C12" s="5"/>
      <c r="D12" s="5"/>
      <c r="E12" s="5"/>
      <c r="F12" s="5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16.8" x14ac:dyDescent="0.4">
      <c r="A13" s="1"/>
      <c r="B13" s="9" t="s">
        <v>56</v>
      </c>
      <c r="C13" s="136" t="s">
        <v>57</v>
      </c>
      <c r="D13" s="108"/>
      <c r="E13" s="24" t="s">
        <v>113</v>
      </c>
      <c r="F13" s="24" t="s">
        <v>76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6.8" x14ac:dyDescent="0.4">
      <c r="A14" s="36"/>
      <c r="B14" s="66" t="s">
        <v>14</v>
      </c>
      <c r="C14" s="127" t="s">
        <v>114</v>
      </c>
      <c r="D14" s="108"/>
      <c r="E14" s="13" t="s">
        <v>115</v>
      </c>
      <c r="F14" s="73">
        <v>6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6.8" x14ac:dyDescent="0.4">
      <c r="A15" s="36"/>
      <c r="B15" s="66" t="s">
        <v>16</v>
      </c>
      <c r="C15" s="130" t="s">
        <v>116</v>
      </c>
      <c r="D15" s="108"/>
      <c r="E15" s="12" t="s">
        <v>115</v>
      </c>
      <c r="F15" s="74">
        <v>15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6.8" x14ac:dyDescent="0.4">
      <c r="A16" s="36"/>
      <c r="B16" s="66" t="s">
        <v>18</v>
      </c>
      <c r="C16" s="127" t="s">
        <v>117</v>
      </c>
      <c r="D16" s="108"/>
      <c r="E16" s="13" t="s">
        <v>115</v>
      </c>
      <c r="F16" s="73">
        <v>21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6.8" x14ac:dyDescent="0.4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ht="16.8" x14ac:dyDescent="0.4">
      <c r="A18" s="36"/>
      <c r="B18" s="22" t="s">
        <v>118</v>
      </c>
      <c r="C18" s="29"/>
      <c r="D18" s="30"/>
      <c r="E18" s="31"/>
      <c r="F18" s="3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.8" x14ac:dyDescent="0.4">
      <c r="A19" s="36"/>
      <c r="B19" s="9">
        <v>3</v>
      </c>
      <c r="C19" s="121" t="s">
        <v>119</v>
      </c>
      <c r="D19" s="107"/>
      <c r="E19" s="108"/>
      <c r="F19" s="24" t="s">
        <v>120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.8" x14ac:dyDescent="0.4">
      <c r="A20" s="36"/>
      <c r="B20" s="9" t="s">
        <v>14</v>
      </c>
      <c r="C20" s="106" t="s">
        <v>121</v>
      </c>
      <c r="D20" s="107"/>
      <c r="E20" s="108"/>
      <c r="F20" s="75">
        <v>62.93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6.8" x14ac:dyDescent="0.4">
      <c r="A21" s="36"/>
      <c r="B21" s="24" t="s">
        <v>16</v>
      </c>
      <c r="C21" s="142" t="s">
        <v>122</v>
      </c>
      <c r="D21" s="107"/>
      <c r="E21" s="108"/>
      <c r="F21" s="76">
        <v>5.55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8" x14ac:dyDescent="0.35">
      <c r="A22" s="5"/>
      <c r="B22" s="24" t="s">
        <v>18</v>
      </c>
      <c r="C22" s="106" t="s">
        <v>123</v>
      </c>
      <c r="D22" s="107"/>
      <c r="E22" s="108"/>
      <c r="F22" s="73">
        <v>40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8" x14ac:dyDescent="0.4">
      <c r="A23" s="36"/>
      <c r="B23" s="24" t="s">
        <v>20</v>
      </c>
      <c r="C23" s="142" t="s">
        <v>124</v>
      </c>
      <c r="D23" s="107"/>
      <c r="E23" s="108"/>
      <c r="F23" s="76">
        <v>94.45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8" x14ac:dyDescent="0.4">
      <c r="A24" s="36"/>
      <c r="B24" s="24" t="s">
        <v>22</v>
      </c>
      <c r="C24" s="106" t="s">
        <v>125</v>
      </c>
      <c r="D24" s="107"/>
      <c r="E24" s="108"/>
      <c r="F24" s="73">
        <v>30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8" x14ac:dyDescent="0.4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6.8" x14ac:dyDescent="0.4">
      <c r="A26" s="5"/>
      <c r="B26" s="22" t="s">
        <v>72</v>
      </c>
      <c r="C26" s="29"/>
      <c r="D26" s="30"/>
      <c r="E26" s="1"/>
      <c r="F26" s="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8" x14ac:dyDescent="0.4">
      <c r="A27" s="5"/>
      <c r="B27" s="22" t="s">
        <v>73</v>
      </c>
      <c r="C27" s="29"/>
      <c r="D27" s="30"/>
      <c r="E27" s="31"/>
      <c r="F27" s="31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8" x14ac:dyDescent="0.35">
      <c r="A28" s="5"/>
      <c r="B28" s="9" t="s">
        <v>74</v>
      </c>
      <c r="C28" s="136" t="s">
        <v>75</v>
      </c>
      <c r="D28" s="107"/>
      <c r="E28" s="108"/>
      <c r="F28" s="24" t="s">
        <v>120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.8" x14ac:dyDescent="0.35">
      <c r="A29" s="5"/>
      <c r="B29" s="9" t="s">
        <v>14</v>
      </c>
      <c r="C29" s="106" t="s">
        <v>126</v>
      </c>
      <c r="D29" s="107"/>
      <c r="E29" s="108"/>
      <c r="F29" s="73">
        <v>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6.8" x14ac:dyDescent="0.4">
      <c r="A30" s="5"/>
      <c r="B30" s="24" t="s">
        <v>16</v>
      </c>
      <c r="C30" s="109" t="s">
        <v>127</v>
      </c>
      <c r="D30" s="107"/>
      <c r="E30" s="108"/>
      <c r="F30" s="74">
        <v>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8" x14ac:dyDescent="0.4">
      <c r="A31" s="5"/>
      <c r="B31" s="24" t="s">
        <v>18</v>
      </c>
      <c r="C31" s="106" t="s">
        <v>128</v>
      </c>
      <c r="D31" s="107"/>
      <c r="E31" s="108"/>
      <c r="F31" s="75">
        <v>1.42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8" x14ac:dyDescent="0.4">
      <c r="A32" s="5"/>
      <c r="B32" s="24" t="s">
        <v>20</v>
      </c>
      <c r="C32" s="109" t="s">
        <v>129</v>
      </c>
      <c r="D32" s="107"/>
      <c r="E32" s="108"/>
      <c r="F32" s="76">
        <v>86.46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8" x14ac:dyDescent="0.4">
      <c r="A33" s="1"/>
      <c r="B33" s="24" t="s">
        <v>22</v>
      </c>
      <c r="C33" s="106" t="s">
        <v>130</v>
      </c>
      <c r="D33" s="107"/>
      <c r="E33" s="108"/>
      <c r="F33" s="75">
        <f>(154800/34808000)*100</f>
        <v>0.44472535049413925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8" x14ac:dyDescent="0.4">
      <c r="A34" s="5"/>
      <c r="B34" s="24" t="s">
        <v>45</v>
      </c>
      <c r="C34" s="109" t="s">
        <v>131</v>
      </c>
      <c r="D34" s="107"/>
      <c r="E34" s="108"/>
      <c r="F34" s="74">
        <v>15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8" x14ac:dyDescent="0.4">
      <c r="A35" s="5"/>
      <c r="B35" s="24" t="s">
        <v>47</v>
      </c>
      <c r="C35" s="106" t="s">
        <v>132</v>
      </c>
      <c r="D35" s="107"/>
      <c r="E35" s="108"/>
      <c r="F35" s="73">
        <v>120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8" x14ac:dyDescent="0.4">
      <c r="A36" s="5"/>
      <c r="B36" s="24" t="s">
        <v>133</v>
      </c>
      <c r="C36" s="109" t="s">
        <v>134</v>
      </c>
      <c r="D36" s="107"/>
      <c r="E36" s="108"/>
      <c r="F36" s="76">
        <v>13.54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8" x14ac:dyDescent="0.4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20.399999999999999" x14ac:dyDescent="0.4">
      <c r="A38" s="1"/>
      <c r="B38" s="65" t="s">
        <v>98</v>
      </c>
      <c r="C38" s="67"/>
      <c r="D38" s="67"/>
      <c r="E38" s="67"/>
      <c r="F38" s="6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8" x14ac:dyDescent="0.4">
      <c r="A39" s="1"/>
      <c r="B39" s="110" t="s">
        <v>99</v>
      </c>
      <c r="C39" s="111"/>
      <c r="D39" s="111"/>
      <c r="E39" s="111"/>
      <c r="F39" s="11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8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8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8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8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8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8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8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8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8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8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8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8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8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8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8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8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8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8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8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8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8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8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8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8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8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8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8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8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8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8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8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8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8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8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8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8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8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8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8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8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8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8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8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8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8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8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8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8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8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8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8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8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8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8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8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8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8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8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8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8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8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8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8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8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8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8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8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8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8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8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8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8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8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8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8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8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8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8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8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8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8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8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8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8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8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8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8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8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8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8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8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8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8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8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8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8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8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8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8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8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8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8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8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8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8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8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8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8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8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8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8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8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8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8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8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8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8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8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8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8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8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8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8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8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8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8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8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8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8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8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8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8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8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8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8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8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8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8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8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8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8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8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8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8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8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8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8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8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8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8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8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8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8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8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8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8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8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8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8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8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8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8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8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8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8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8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8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8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8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8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8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8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8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8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8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8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8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8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8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8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8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8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8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8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8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8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8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8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8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8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8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8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8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8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8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8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8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8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8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8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8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8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8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8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8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8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8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8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8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8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8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8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8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8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8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8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8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8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8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8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8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8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8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8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8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8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8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8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8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8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8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8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8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8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8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8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8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8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8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8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8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8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8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8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8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8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8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8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8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8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8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8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8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8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8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8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8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8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8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8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8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8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8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8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8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8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8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8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8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8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8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8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8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8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8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8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8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8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8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8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8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8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8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8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8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8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8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8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8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8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8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8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8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8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8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8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8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8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8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8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8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8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8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8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8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8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8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8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8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8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8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8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8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8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8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8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8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8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8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8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8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8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8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8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8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8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8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8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8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8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8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8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8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8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8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8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8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8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8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8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8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8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8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8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8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8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8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8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8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8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8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8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8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8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8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8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8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8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8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8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8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8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8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8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8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8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8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8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8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8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8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8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8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8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8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8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8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8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8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8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8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8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8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8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8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8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8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8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8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8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8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8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8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8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8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8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8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8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8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8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8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8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8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8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8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8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8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8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8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8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8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8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8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8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8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8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8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8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8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8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8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8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8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8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8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8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8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8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8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8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8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8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8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8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8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8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8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8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8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8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8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8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8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8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8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8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8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8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8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8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8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8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8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8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8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8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8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8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8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8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8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8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8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8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8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8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8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8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8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8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8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8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8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8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8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8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8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8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8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8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8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8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8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8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8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8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8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8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8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8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8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8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8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8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8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8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8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8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8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8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8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8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8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8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8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8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8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8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8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8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8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8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8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8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8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8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8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8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8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8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8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8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8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8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8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8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8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8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8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8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8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8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8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8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8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8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8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8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B39:F39"/>
    <mergeCell ref="C21:E21"/>
    <mergeCell ref="C22:E22"/>
    <mergeCell ref="C23:E23"/>
    <mergeCell ref="C24:E24"/>
    <mergeCell ref="C28:E28"/>
    <mergeCell ref="C29:E29"/>
    <mergeCell ref="C30:E30"/>
    <mergeCell ref="C32:E32"/>
    <mergeCell ref="C33:E33"/>
    <mergeCell ref="C34:E34"/>
    <mergeCell ref="C35:E35"/>
    <mergeCell ref="C36:E36"/>
    <mergeCell ref="C15:D15"/>
    <mergeCell ref="C16:D16"/>
    <mergeCell ref="C19:E19"/>
    <mergeCell ref="C20:E20"/>
    <mergeCell ref="C31:E31"/>
    <mergeCell ref="C8:E8"/>
    <mergeCell ref="C9:E9"/>
    <mergeCell ref="C10:E10"/>
    <mergeCell ref="C13:D13"/>
    <mergeCell ref="C14:D14"/>
    <mergeCell ref="C3:E3"/>
    <mergeCell ref="C4:E4"/>
    <mergeCell ref="C5:E5"/>
    <mergeCell ref="C6:E6"/>
    <mergeCell ref="C7:E7"/>
  </mergeCells>
  <printOptions horizontalCentered="1"/>
  <pageMargins left="0.78740157480314965" right="0.78740157480314965" top="0.78740157480314965" bottom="0.78740157480314965" header="0" footer="0"/>
  <pageSetup paperSize="9" scale="85" fitToHeight="3" orientation="portrait" r:id="rId1"/>
  <ignoredErrors>
    <ignoredError sqref="F3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Normal="100" workbookViewId="0">
      <selection sqref="A1:XFD1048576"/>
    </sheetView>
  </sheetViews>
  <sheetFormatPr defaultColWidth="12.5546875" defaultRowHeight="15" x14ac:dyDescent="0.35"/>
  <cols>
    <col min="1" max="1" width="2.6640625" style="2" customWidth="1"/>
    <col min="2" max="2" width="8.88671875" style="2" customWidth="1"/>
    <col min="3" max="3" width="52.5546875" style="2" customWidth="1"/>
    <col min="4" max="4" width="22" style="2" customWidth="1"/>
    <col min="5" max="5" width="7" style="2" customWidth="1"/>
    <col min="6" max="6" width="46" style="2" customWidth="1"/>
    <col min="7" max="26" width="9.109375" style="2" customWidth="1"/>
    <col min="27" max="16384" width="12.5546875" style="2"/>
  </cols>
  <sheetData>
    <row r="1" spans="1:26" ht="24.6" x14ac:dyDescent="0.55000000000000004">
      <c r="A1" s="5"/>
      <c r="B1" s="63" t="s">
        <v>135</v>
      </c>
      <c r="C1" s="1"/>
      <c r="D1" s="1"/>
      <c r="E1" s="1"/>
      <c r="F1" s="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6.8" x14ac:dyDescent="0.4">
      <c r="A2" s="1"/>
      <c r="B2" s="22" t="s">
        <v>49</v>
      </c>
      <c r="C2" s="1"/>
      <c r="D2" s="1"/>
      <c r="E2" s="2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4">
      <c r="A3" s="1"/>
      <c r="B3" s="22" t="s">
        <v>136</v>
      </c>
      <c r="C3" s="29"/>
      <c r="D3" s="30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4">
      <c r="A4" s="1"/>
      <c r="B4" s="9" t="s">
        <v>137</v>
      </c>
      <c r="C4" s="121" t="s">
        <v>138</v>
      </c>
      <c r="D4" s="108"/>
      <c r="E4" s="24" t="s">
        <v>76</v>
      </c>
      <c r="F4" s="24" t="s">
        <v>139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4">
      <c r="A5" s="1"/>
      <c r="B5" s="9" t="s">
        <v>14</v>
      </c>
      <c r="C5" s="106" t="s">
        <v>140</v>
      </c>
      <c r="D5" s="108"/>
      <c r="E5" s="32">
        <f>(1/MESES_NO_ANO)*100</f>
        <v>8.3333333333333321</v>
      </c>
      <c r="F5" s="32" t="s">
        <v>141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4">
      <c r="A6" s="1"/>
      <c r="B6" s="24" t="s">
        <v>16</v>
      </c>
      <c r="C6" s="109" t="s">
        <v>142</v>
      </c>
      <c r="D6" s="108"/>
      <c r="E6" s="34">
        <f>(1/3)/MESES_NO_ANO*100</f>
        <v>2.7777777777777777</v>
      </c>
      <c r="F6" s="34" t="s">
        <v>143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8" x14ac:dyDescent="0.4">
      <c r="A7" s="36"/>
      <c r="B7" s="143" t="s">
        <v>144</v>
      </c>
      <c r="C7" s="134"/>
      <c r="D7" s="134"/>
      <c r="E7" s="134"/>
      <c r="F7" s="135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6.8" x14ac:dyDescent="0.4">
      <c r="A8" s="36"/>
      <c r="B8" s="9" t="s">
        <v>51</v>
      </c>
      <c r="C8" s="136" t="s">
        <v>145</v>
      </c>
      <c r="D8" s="108"/>
      <c r="E8" s="24" t="s">
        <v>76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6.8" x14ac:dyDescent="0.4">
      <c r="A9" s="1"/>
      <c r="B9" s="9" t="s">
        <v>14</v>
      </c>
      <c r="C9" s="106" t="s">
        <v>146</v>
      </c>
      <c r="D9" s="108"/>
      <c r="E9" s="32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8" x14ac:dyDescent="0.35">
      <c r="A10" s="5"/>
      <c r="B10" s="24" t="s">
        <v>16</v>
      </c>
      <c r="C10" s="109" t="s">
        <v>147</v>
      </c>
      <c r="D10" s="108"/>
      <c r="E10" s="38">
        <v>2.5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8" x14ac:dyDescent="0.35">
      <c r="A11" s="5"/>
      <c r="B11" s="24" t="s">
        <v>18</v>
      </c>
      <c r="C11" s="106" t="s">
        <v>148</v>
      </c>
      <c r="D11" s="108"/>
      <c r="E11" s="32">
        <f>IF(FAP&lt;&gt;"",3*FAP,3)</f>
        <v>3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8" x14ac:dyDescent="0.35">
      <c r="A12" s="5"/>
      <c r="B12" s="24" t="s">
        <v>20</v>
      </c>
      <c r="C12" s="109" t="s">
        <v>149</v>
      </c>
      <c r="D12" s="108"/>
      <c r="E12" s="34">
        <v>1.5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6.8" x14ac:dyDescent="0.35">
      <c r="A13" s="5"/>
      <c r="B13" s="24" t="s">
        <v>22</v>
      </c>
      <c r="C13" s="106" t="s">
        <v>150</v>
      </c>
      <c r="D13" s="108"/>
      <c r="E13" s="32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6.8" x14ac:dyDescent="0.35">
      <c r="A14" s="5"/>
      <c r="B14" s="24" t="s">
        <v>45</v>
      </c>
      <c r="C14" s="109" t="s">
        <v>151</v>
      </c>
      <c r="D14" s="108"/>
      <c r="E14" s="38">
        <v>0.6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8" x14ac:dyDescent="0.35">
      <c r="A15" s="5"/>
      <c r="B15" s="24" t="s">
        <v>47</v>
      </c>
      <c r="C15" s="106" t="s">
        <v>152</v>
      </c>
      <c r="D15" s="108"/>
      <c r="E15" s="32">
        <v>0.2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8" x14ac:dyDescent="0.4">
      <c r="A16" s="1"/>
      <c r="B16" s="24" t="s">
        <v>133</v>
      </c>
      <c r="C16" s="109" t="s">
        <v>153</v>
      </c>
      <c r="D16" s="108"/>
      <c r="E16" s="38">
        <v>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8" x14ac:dyDescent="0.4">
      <c r="A17" s="1"/>
      <c r="B17" s="121" t="s">
        <v>154</v>
      </c>
      <c r="C17" s="107"/>
      <c r="D17" s="108"/>
      <c r="E17" s="64">
        <f>SUM(E9:E16)</f>
        <v>36.799999999999997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8" x14ac:dyDescent="0.4">
      <c r="A18" s="36"/>
      <c r="B18" s="22" t="s">
        <v>118</v>
      </c>
      <c r="C18" s="29"/>
      <c r="D18" s="30"/>
      <c r="E18" s="31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16.8" x14ac:dyDescent="0.4">
      <c r="A19" s="36"/>
      <c r="B19" s="9">
        <v>3</v>
      </c>
      <c r="C19" s="121" t="s">
        <v>119</v>
      </c>
      <c r="D19" s="108"/>
      <c r="E19" s="24" t="s">
        <v>76</v>
      </c>
      <c r="F19" s="24" t="s">
        <v>139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16.8" x14ac:dyDescent="0.4">
      <c r="A20" s="36"/>
      <c r="B20" s="9" t="s">
        <v>14</v>
      </c>
      <c r="C20" s="144" t="s">
        <v>155</v>
      </c>
      <c r="D20" s="108"/>
      <c r="E20" s="32">
        <f>PERC_EMPREG_DEMIT_SEM_JUSTA_CAUSA_TOTAL_DESLIG%*PERC_EMPREG_AVISO_PREVIO_IND%*1/MESES_NO_ANO*100</f>
        <v>0.29105124999999998</v>
      </c>
      <c r="F20" s="32" t="s">
        <v>156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16.8" x14ac:dyDescent="0.4">
      <c r="A21" s="36"/>
      <c r="B21" s="24" t="s">
        <v>16</v>
      </c>
      <c r="C21" s="142" t="s">
        <v>157</v>
      </c>
      <c r="D21" s="108"/>
      <c r="E21" s="38">
        <f>PERC_AVISO_PREVIO_IND%*PERC_FGTS%*100</f>
        <v>2.3284099999999999E-2</v>
      </c>
      <c r="F21" s="34" t="s">
        <v>158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6.8" x14ac:dyDescent="0.35">
      <c r="A22" s="5"/>
      <c r="B22" s="24" t="s">
        <v>18</v>
      </c>
      <c r="C22" s="144" t="s">
        <v>159</v>
      </c>
      <c r="D22" s="108"/>
      <c r="E22" s="32">
        <f>PERC_EMPREG_DEMIT_SEM_JUSTA_CAUSA_TOTAL_DESLIG%*PERC_EMPREG_AVISO_PREVIO_IND%*(PERC_MULTA_FGTS%)*PERC_FGTS%*100</f>
        <v>0.11176368</v>
      </c>
      <c r="F22" s="32" t="s">
        <v>160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6.8" x14ac:dyDescent="0.4">
      <c r="A23" s="36"/>
      <c r="B23" s="24" t="s">
        <v>20</v>
      </c>
      <c r="C23" s="142" t="s">
        <v>161</v>
      </c>
      <c r="D23" s="108"/>
      <c r="E23" s="38">
        <f>PERC_EMPREG_DEMIT_SEM_JUSTA_CAUSA_TOTAL_DESLIG%*PERC_EMPREG_AVISO_PREVIO_TRAB%*(DIAS_NA_SEMANA/DIAS_NO_MES)/MESES_NO_ANO*100</f>
        <v>1.1557269305555555</v>
      </c>
      <c r="F23" s="34" t="s">
        <v>162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16.8" x14ac:dyDescent="0.4">
      <c r="A24" s="36"/>
      <c r="B24" s="24" t="s">
        <v>22</v>
      </c>
      <c r="C24" s="144" t="s">
        <v>163</v>
      </c>
      <c r="D24" s="108"/>
      <c r="E24" s="32">
        <f>PERC_GPS_FGTS%*PERC_AVISO_PREVIO_TRAB%*100</f>
        <v>0.42530751044444437</v>
      </c>
      <c r="F24" s="32" t="s">
        <v>164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16.8" x14ac:dyDescent="0.35">
      <c r="A25" s="5"/>
      <c r="B25" s="24" t="s">
        <v>45</v>
      </c>
      <c r="C25" s="142" t="s">
        <v>165</v>
      </c>
      <c r="D25" s="108"/>
      <c r="E25" s="38">
        <f>PERC_EMPREG_DEMIT_SEM_JUSTA_CAUSA_TOTAL_DESLIG%*PERC_EMPREG_AVISO_PREVIO_TRAB%*(PERC_MULTA_FGTS%)*PERC_FGTS%*100</f>
        <v>1.9019963200000001</v>
      </c>
      <c r="F25" s="34" t="s">
        <v>166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8" x14ac:dyDescent="0.4">
      <c r="A26" s="5"/>
      <c r="B26" s="22" t="s">
        <v>72</v>
      </c>
      <c r="C26" s="29"/>
      <c r="D26" s="30"/>
      <c r="E26" s="1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8" x14ac:dyDescent="0.4">
      <c r="A27" s="5"/>
      <c r="B27" s="22" t="s">
        <v>73</v>
      </c>
      <c r="C27" s="29"/>
      <c r="D27" s="30"/>
      <c r="E27" s="31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6.8" x14ac:dyDescent="0.35">
      <c r="A28" s="5"/>
      <c r="B28" s="9" t="s">
        <v>74</v>
      </c>
      <c r="C28" s="136" t="s">
        <v>75</v>
      </c>
      <c r="D28" s="108"/>
      <c r="E28" s="24" t="s">
        <v>76</v>
      </c>
      <c r="F28" s="24" t="s">
        <v>139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6.8" x14ac:dyDescent="0.35">
      <c r="A29" s="5"/>
      <c r="B29" s="24" t="s">
        <v>14</v>
      </c>
      <c r="C29" s="106" t="s">
        <v>167</v>
      </c>
      <c r="D29" s="108"/>
      <c r="E29" s="32">
        <f>(1/MESES_NO_ANO)*100</f>
        <v>8.3333333333333321</v>
      </c>
      <c r="F29" s="32" t="s">
        <v>168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6.8" x14ac:dyDescent="0.35">
      <c r="A30" s="5"/>
      <c r="B30" s="24" t="s">
        <v>16</v>
      </c>
      <c r="C30" s="10" t="s">
        <v>169</v>
      </c>
      <c r="D30" s="10"/>
      <c r="E30" s="38">
        <f>(DIAS_AUSENCIAS_LEGAIS/DIAS_NO_MES)/MESES_NO_ANO*100</f>
        <v>2.2222222222222223</v>
      </c>
      <c r="F30" s="34" t="s">
        <v>170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6.8" x14ac:dyDescent="0.35">
      <c r="A31" s="5"/>
      <c r="B31" s="24" t="s">
        <v>18</v>
      </c>
      <c r="C31" s="106" t="s">
        <v>171</v>
      </c>
      <c r="D31" s="108"/>
      <c r="E31" s="32">
        <f>(((DIAS_LICENCA_PATERNIDADE/DIAS_NO_MES)/MESES_NO_ANO)*PERC_NASCIDOS_VIVOS_POPUL_FEM%*PERC_PARTIC_MASC_VIGIL%)*100</f>
        <v>1.7051833333333329E-2</v>
      </c>
      <c r="F31" s="32" t="s">
        <v>172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8" x14ac:dyDescent="0.35">
      <c r="A32" s="5"/>
      <c r="B32" s="24" t="s">
        <v>20</v>
      </c>
      <c r="C32" s="109" t="s">
        <v>173</v>
      </c>
      <c r="D32" s="108"/>
      <c r="E32" s="38">
        <f>(DIAS_PAGOS_EMPRESA_ACID_TRAB/DIAS_NO_MES)/MESES_NO_ANO*PERC_EMPREG_AFAST_TRAB%*100</f>
        <v>1.85302229372558E-2</v>
      </c>
      <c r="F32" s="34" t="s">
        <v>174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6.8" x14ac:dyDescent="0.35">
      <c r="A33" s="5"/>
      <c r="B33" s="24" t="s">
        <v>22</v>
      </c>
      <c r="C33" s="106" t="s">
        <v>175</v>
      </c>
      <c r="D33" s="108"/>
      <c r="E33" s="32">
        <f>(((DIAS_LICENCA_MATERNIDADE/DIAS_NO_MES)/MESES_NO_ANO)*PERC_NASCIDOS_VIVOS_POPUL_FEM%*PERC_PARTIC_FEM_VIGIL%*PERC_GPS_FGTS%*100)</f>
        <v>2.3584874666666662E-2</v>
      </c>
      <c r="F33" s="32" t="s">
        <v>176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6.8" x14ac:dyDescent="0.35">
      <c r="A34" s="5"/>
      <c r="B34" s="24" t="s">
        <v>45</v>
      </c>
      <c r="C34" s="145" t="str">
        <f>OUTRAS_AUSENCIAS_DESCRICAO</f>
        <v>Outras Ausências (Especificar em %)</v>
      </c>
      <c r="D34" s="108"/>
      <c r="E34" s="38">
        <f>PERC_SUBSTITUTO_OUTRAS_AUSENCIAS</f>
        <v>0</v>
      </c>
      <c r="F34" s="3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6.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399999999999999" x14ac:dyDescent="0.4">
      <c r="A36" s="1"/>
      <c r="B36" s="65" t="s">
        <v>98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8" x14ac:dyDescent="0.4">
      <c r="A37" s="1"/>
      <c r="B37" s="110" t="s">
        <v>99</v>
      </c>
      <c r="C37" s="111"/>
      <c r="D37" s="111"/>
      <c r="E37" s="111"/>
      <c r="F37" s="11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8" x14ac:dyDescent="0.4">
      <c r="A38" s="1"/>
      <c r="B38" s="1" t="s">
        <v>177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8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8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8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8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8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8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8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8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8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8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8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8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8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8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8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8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8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8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8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8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8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8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8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8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8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8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8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8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8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8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8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8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8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8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8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8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8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8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8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8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8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8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8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8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8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8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8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8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8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8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8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8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8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8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8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8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8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8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8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8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8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8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8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8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8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8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8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8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8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8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8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8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8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8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8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8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8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8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8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8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8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8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8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8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8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8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8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8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8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8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8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8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8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8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8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8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8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8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8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8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8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8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8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8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8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8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8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8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8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8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8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8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8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8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8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8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8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8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8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8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8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8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8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8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8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8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8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8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8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8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8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8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8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8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8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8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8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8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8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8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8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8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8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8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8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8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8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8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8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8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8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8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8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8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8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8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8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8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8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8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8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8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8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8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8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8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8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8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8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8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8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8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8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8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8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8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8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8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8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8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8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8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8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8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8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8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8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8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8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8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8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8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8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8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8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8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8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8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8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8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8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8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8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8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8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8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8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8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8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8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8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8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8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8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8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8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8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8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8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8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8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8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8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8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8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8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8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8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8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8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8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8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8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8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8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8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8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8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8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8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8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8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8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8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8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8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8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8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8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8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8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8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8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8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8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8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8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8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8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8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8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8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8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8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8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8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8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8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8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8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8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8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8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8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8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8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8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8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8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8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8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8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8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8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8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8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8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8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8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8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8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8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8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8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8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8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8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8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8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8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8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8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8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8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8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8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8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8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8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8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8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8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8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8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8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8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8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8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8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8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8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8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8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8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8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8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8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8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8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8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8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8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8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8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8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8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8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8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8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8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8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8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8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8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8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8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8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8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8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8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8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8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8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8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8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8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8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8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8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8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8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8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8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8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8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8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8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8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8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8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8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8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8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8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8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8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8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8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8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8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8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8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8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8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8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8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8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8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8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8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8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8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8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8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8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8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8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8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8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8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8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8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8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8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8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8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8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8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8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8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8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8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8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8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8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8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8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8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8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8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8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8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8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8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8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8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8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8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8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8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8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8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8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8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8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8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8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8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8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8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8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8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8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8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8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8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8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8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8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8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8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8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8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8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8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8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8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8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8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8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8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8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8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8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8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8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8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8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8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8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8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8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8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8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8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8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8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8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8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8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8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8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8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8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8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8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8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8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8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8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8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8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8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8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8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8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8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8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8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8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8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8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8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8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8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8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8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8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8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8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8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8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8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8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8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8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8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8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8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8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8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8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8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8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8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8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8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8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8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8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8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8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8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8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8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8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8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8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8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B37:F37"/>
    <mergeCell ref="C19:D19"/>
    <mergeCell ref="C20:D20"/>
    <mergeCell ref="C21:D21"/>
    <mergeCell ref="C22:D22"/>
    <mergeCell ref="C23:D23"/>
    <mergeCell ref="C24:D24"/>
    <mergeCell ref="C25:D25"/>
    <mergeCell ref="C29:D29"/>
    <mergeCell ref="C31:D31"/>
    <mergeCell ref="C32:D32"/>
    <mergeCell ref="C33:D33"/>
    <mergeCell ref="C34:D34"/>
    <mergeCell ref="C14:D14"/>
    <mergeCell ref="C15:D15"/>
    <mergeCell ref="C16:D16"/>
    <mergeCell ref="B17:D17"/>
    <mergeCell ref="C28:D28"/>
    <mergeCell ref="C9:D9"/>
    <mergeCell ref="C10:D10"/>
    <mergeCell ref="C11:D11"/>
    <mergeCell ref="C12:D12"/>
    <mergeCell ref="C13:D13"/>
    <mergeCell ref="C4:D4"/>
    <mergeCell ref="C5:D5"/>
    <mergeCell ref="C6:D6"/>
    <mergeCell ref="B7:F7"/>
    <mergeCell ref="C8:D8"/>
  </mergeCells>
  <dataValidations count="2">
    <dataValidation type="decimal" allowBlank="1" showInputMessage="1" showErrorMessage="1" prompt="Erro na inserção de dados. - O percentual do Aviso Prévio Indenizado deverá ser inferior a 1,94%, conforme determinou o Tribunal de Contas da União por meio do Acórdão nº 1.904/2007 - Plenário." sqref="E23:E24" xr:uid="{00000000-0002-0000-0200-000000000000}">
      <formula1>0</formula1>
      <formula2>1.94</formula2>
    </dataValidation>
    <dataValidation type="decimal" allowBlank="1" showInputMessage="1" showErrorMessage="1" prompt="Erro na inserção de dados. - O percentual do Aviso Prévio Indenizado deverá ser inferior a 0,64%, conforme determinou o Tribunal de Contas da União por meio do Acórdão nº 1.904/2007 - Plenário." sqref="E20" xr:uid="{00000000-0002-0000-0200-000001000000}">
      <formula1>0</formula1>
      <formula2>0.46</formula2>
    </dataValidation>
  </dataValidations>
  <printOptions horizontalCentered="1"/>
  <pageMargins left="0.78740157480314965" right="0.78740157480314965" top="0.78740157480314965" bottom="0.78740157480314965" header="0" footer="0"/>
  <pageSetup paperSize="9" scale="96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zoomScaleNormal="100" workbookViewId="0">
      <selection sqref="A1:XFD1048576"/>
    </sheetView>
  </sheetViews>
  <sheetFormatPr defaultColWidth="12.5546875" defaultRowHeight="15" x14ac:dyDescent="0.35"/>
  <cols>
    <col min="1" max="1" width="2.6640625" style="2" customWidth="1"/>
    <col min="2" max="2" width="8.88671875" style="2" customWidth="1"/>
    <col min="3" max="3" width="52.5546875" style="2" customWidth="1"/>
    <col min="4" max="4" width="15.44140625" style="2" customWidth="1"/>
    <col min="5" max="5" width="13.5546875" style="2" customWidth="1"/>
    <col min="6" max="6" width="20" style="2" customWidth="1"/>
    <col min="7" max="26" width="9.109375" style="2" customWidth="1"/>
    <col min="27" max="16384" width="12.5546875" style="2"/>
  </cols>
  <sheetData>
    <row r="1" spans="1:26" ht="20.399999999999999" x14ac:dyDescent="0.45">
      <c r="A1" s="1"/>
      <c r="B1" s="149" t="str">
        <f>RAMO</f>
        <v>RAMO:</v>
      </c>
      <c r="C1" s="107"/>
      <c r="D1" s="107"/>
      <c r="E1" s="107"/>
      <c r="F1" s="10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399999999999999" x14ac:dyDescent="0.45">
      <c r="A2" s="1"/>
      <c r="B2" s="150" t="str">
        <f>UG</f>
        <v>UNIDADE GESTORA (SIGLA):</v>
      </c>
      <c r="C2" s="107"/>
      <c r="D2" s="108"/>
      <c r="E2" s="3" t="s">
        <v>2</v>
      </c>
      <c r="F2" s="4" t="str">
        <f>DATA_DO_ORCAMENTO_ESTIMATIVO</f>
        <v>XX/XX/20XX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6" x14ac:dyDescent="0.55000000000000004">
      <c r="A3" s="5"/>
      <c r="B3" s="123" t="s">
        <v>178</v>
      </c>
      <c r="C3" s="111"/>
      <c r="D3" s="111"/>
      <c r="E3" s="111"/>
      <c r="F3" s="11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.8" x14ac:dyDescent="0.4">
      <c r="A4" s="5"/>
      <c r="B4" s="124" t="s">
        <v>5</v>
      </c>
      <c r="C4" s="125"/>
      <c r="D4" s="125"/>
      <c r="E4" s="125"/>
      <c r="F4" s="12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6.8" x14ac:dyDescent="0.4">
      <c r="A5" s="5"/>
      <c r="B5" s="127" t="s">
        <v>179</v>
      </c>
      <c r="C5" s="108"/>
      <c r="D5" s="151" t="str">
        <f>NUMERO_PROCESSO</f>
        <v>X.XX.XXX.XXXXXX/20XX-XX</v>
      </c>
      <c r="E5" s="107"/>
      <c r="F5" s="108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8" x14ac:dyDescent="0.4">
      <c r="A6" s="5"/>
      <c r="B6" s="130" t="s">
        <v>180</v>
      </c>
      <c r="C6" s="108"/>
      <c r="D6" s="152" t="str">
        <f>MODALIDADE_DE_LICITACAO</f>
        <v>Pregão nº</v>
      </c>
      <c r="E6" s="108"/>
      <c r="F6" s="6" t="str">
        <f>NUMERO_PREGAO</f>
        <v>XX/20XX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2" x14ac:dyDescent="0.45">
      <c r="A7" s="5"/>
      <c r="B7" s="153" t="s">
        <v>181</v>
      </c>
      <c r="C7" s="154"/>
      <c r="D7" s="154"/>
      <c r="E7" s="154"/>
      <c r="F7" s="15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8" x14ac:dyDescent="0.4">
      <c r="A8" s="5"/>
      <c r="B8" s="7" t="s">
        <v>14</v>
      </c>
      <c r="C8" s="127" t="s">
        <v>15</v>
      </c>
      <c r="D8" s="107"/>
      <c r="E8" s="108"/>
      <c r="F8" s="8" t="str">
        <f>DATA_APRESENTACAO_PROPOSTA</f>
        <v>XX/XX/20XX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8" x14ac:dyDescent="0.35">
      <c r="A9" s="5"/>
      <c r="B9" s="9" t="s">
        <v>16</v>
      </c>
      <c r="C9" s="10" t="s">
        <v>17</v>
      </c>
      <c r="D9" s="142" t="str">
        <f>IF(LOCAL_DE_EXECUCAO="","",LOCAL_DE_EXECUCAO)</f>
        <v/>
      </c>
      <c r="E9" s="107"/>
      <c r="F9" s="10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8" x14ac:dyDescent="0.4">
      <c r="A10" s="5"/>
      <c r="B10" s="7" t="s">
        <v>18</v>
      </c>
      <c r="C10" s="127" t="s">
        <v>21</v>
      </c>
      <c r="D10" s="107"/>
      <c r="E10" s="108"/>
      <c r="F10" s="11" t="str">
        <f>ACORDO_COLETIVO</f>
        <v>XX/20XX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8" x14ac:dyDescent="0.4">
      <c r="A11" s="5"/>
      <c r="B11" s="9" t="s">
        <v>20</v>
      </c>
      <c r="C11" s="142" t="s">
        <v>23</v>
      </c>
      <c r="D11" s="107"/>
      <c r="E11" s="108"/>
      <c r="F11" s="12">
        <f>NUMERO_MESES_EXEC_CONTRATUAL</f>
        <v>12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8" x14ac:dyDescent="0.4">
      <c r="A12" s="5"/>
      <c r="B12" s="9" t="s">
        <v>22</v>
      </c>
      <c r="C12" s="144" t="s">
        <v>182</v>
      </c>
      <c r="D12" s="107"/>
      <c r="E12" s="108"/>
      <c r="F12" s="13" t="str">
        <f>IF('POSTO 12x36 HORAS'!QTDE_POSTOS="","",'POSTO 12x36 HORAS'!QTDE_POSTOS)</f>
        <v/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.6" x14ac:dyDescent="0.35">
      <c r="A13" s="14"/>
      <c r="B13" s="15" t="s">
        <v>36</v>
      </c>
      <c r="C13" s="16"/>
      <c r="D13" s="16"/>
      <c r="E13" s="16"/>
      <c r="F13" s="1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6.8" x14ac:dyDescent="0.4">
      <c r="A14" s="5"/>
      <c r="B14" s="7">
        <v>1</v>
      </c>
      <c r="C14" s="127" t="s">
        <v>183</v>
      </c>
      <c r="D14" s="108"/>
      <c r="E14" s="151" t="str">
        <f>IF(TIPO_DE_SERVICO="","",TIPO_DE_SERVICO)</f>
        <v/>
      </c>
      <c r="F14" s="108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8" x14ac:dyDescent="0.4">
      <c r="A15" s="5"/>
      <c r="B15" s="7">
        <v>2</v>
      </c>
      <c r="C15" s="17" t="s">
        <v>32</v>
      </c>
      <c r="D15" s="155" t="str">
        <f>IF(CBO="","",CBO)</f>
        <v/>
      </c>
      <c r="E15" s="107"/>
      <c r="F15" s="108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8" x14ac:dyDescent="0.4">
      <c r="A16" s="5"/>
      <c r="B16" s="7">
        <v>3</v>
      </c>
      <c r="C16" s="18" t="s">
        <v>33</v>
      </c>
      <c r="D16" s="151" t="str">
        <f>IF(CATEGORIA_PROFISSIONAL="","",CATEGORIA_PROFISSIONAL)</f>
        <v/>
      </c>
      <c r="E16" s="107"/>
      <c r="F16" s="10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8" x14ac:dyDescent="0.4">
      <c r="A17" s="5"/>
      <c r="B17" s="7">
        <v>4</v>
      </c>
      <c r="C17" s="130" t="s">
        <v>34</v>
      </c>
      <c r="D17" s="107"/>
      <c r="E17" s="108"/>
      <c r="F17" s="19" t="str">
        <f>DATA_BASE_CATEGORIA</f>
        <v>XX/XX/20XX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9.4" x14ac:dyDescent="0.4">
      <c r="A18" s="20"/>
      <c r="B18" s="156" t="s">
        <v>184</v>
      </c>
      <c r="C18" s="125"/>
      <c r="D18" s="125"/>
      <c r="E18" s="125"/>
      <c r="F18" s="157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8" x14ac:dyDescent="0.4">
      <c r="A19" s="1"/>
      <c r="B19" s="121" t="s">
        <v>185</v>
      </c>
      <c r="C19" s="107"/>
      <c r="D19" s="107"/>
      <c r="E19" s="108"/>
      <c r="F19" s="21" t="str">
        <f>IF(EMPREG_POR_POSTO="","",EMPREG_POR_POSTO)</f>
        <v/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8" x14ac:dyDescent="0.4">
      <c r="A20" s="1"/>
      <c r="B20" s="22" t="s">
        <v>37</v>
      </c>
      <c r="C20" s="1"/>
      <c r="D20" s="1"/>
      <c r="E20" s="23"/>
      <c r="F20" s="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8" x14ac:dyDescent="0.4">
      <c r="A21" s="1"/>
      <c r="B21" s="9">
        <v>1</v>
      </c>
      <c r="C21" s="136" t="s">
        <v>38</v>
      </c>
      <c r="D21" s="107"/>
      <c r="E21" s="108"/>
      <c r="F21" s="24" t="s">
        <v>83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8" x14ac:dyDescent="0.4">
      <c r="A22" s="1"/>
      <c r="B22" s="9" t="s">
        <v>14</v>
      </c>
      <c r="C22" s="137" t="s">
        <v>186</v>
      </c>
      <c r="D22" s="107"/>
      <c r="E22" s="108"/>
      <c r="F22" s="25">
        <f>SALARIO_BASE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8" x14ac:dyDescent="0.4">
      <c r="A23" s="1"/>
      <c r="B23" s="9" t="s">
        <v>16</v>
      </c>
      <c r="C23" s="109" t="s">
        <v>187</v>
      </c>
      <c r="D23" s="107"/>
      <c r="E23" s="108"/>
      <c r="F23" s="26">
        <f>PERC_ADIC_PERIC%*SALARIO_BASE</f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8" x14ac:dyDescent="0.4">
      <c r="A24" s="1"/>
      <c r="B24" s="9" t="s">
        <v>18</v>
      </c>
      <c r="C24" s="158" t="s">
        <v>188</v>
      </c>
      <c r="D24" s="107"/>
      <c r="E24" s="108"/>
      <c r="F24" s="25">
        <f>(('POSTO 12x36 HORAS'!AL_1_A_SAL_BASE_12x36+'POSTO 12x36 HORAS'!AL_1_B_ADIC_PERIC_12x36)/DIVISOR_DE_HORAS)*DIAS_NA_SEMANA*MEDIA_ANUAL_DIAS_TRABALHO_MES*PERC_ADIC_NOT%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8" x14ac:dyDescent="0.4">
      <c r="A25" s="1"/>
      <c r="B25" s="9" t="s">
        <v>20</v>
      </c>
      <c r="C25" s="109" t="s">
        <v>189</v>
      </c>
      <c r="D25" s="107"/>
      <c r="E25" s="108"/>
      <c r="F25" s="26">
        <f>(('POSTO 12x36 HORAS'!AL_1_A_SAL_BASE_12x36+'POSTO 12x36 HORAS'!AL_1_B_ADIC_PERIC_12x36)/DIVISOR_DE_HORAS)*((HORA_NORMAL-HORA_NOTURNA)/HORA_NOTURNA)*DIAS_NA_SEMANA*MEDIA_ANUAL_DIAS_TRABALHO_MES*PERC_ADIC_NOT%</f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8" x14ac:dyDescent="0.4">
      <c r="A26" s="1"/>
      <c r="B26" s="9" t="s">
        <v>22</v>
      </c>
      <c r="C26" s="106" t="s">
        <v>190</v>
      </c>
      <c r="D26" s="107"/>
      <c r="E26" s="108"/>
      <c r="F26" s="25">
        <f>IF(BC_ADIC_INSALUB="CCT",PERC_ADIC_INS%*SALARIO_BASE,IF(BC_ADIC_INSALUB="Salário Mínimo",PERC_ADIC_INS%*SAL_MINIMO,0))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8" x14ac:dyDescent="0.4">
      <c r="A27" s="1"/>
      <c r="B27" s="9" t="s">
        <v>45</v>
      </c>
      <c r="C27" s="138" t="str">
        <f>OUTROS_REMUNERACAO_1_DESCRICAO</f>
        <v>Outras Remunerações 1 (Especificar)</v>
      </c>
      <c r="D27" s="107"/>
      <c r="E27" s="108"/>
      <c r="F27" s="26">
        <f>OUTROS_REMUNERACAO_1</f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8" x14ac:dyDescent="0.4">
      <c r="A28" s="1"/>
      <c r="B28" s="9" t="s">
        <v>47</v>
      </c>
      <c r="C28" s="137" t="str">
        <f>OUTROS_REMUNERACAO_2_DESCRICAO</f>
        <v>Outras Remunerações 2 (Especificar)</v>
      </c>
      <c r="D28" s="107"/>
      <c r="E28" s="108"/>
      <c r="F28" s="25">
        <f>OUTROS_REMUNERACAO_2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8" x14ac:dyDescent="0.4">
      <c r="A29" s="1"/>
      <c r="B29" s="9" t="s">
        <v>133</v>
      </c>
      <c r="C29" s="138" t="str">
        <f>OUTROS_REMUNERACAO_3_DESCRICAO</f>
        <v>Outras Remunerações 3 (Especificar)</v>
      </c>
      <c r="D29" s="107"/>
      <c r="E29" s="108"/>
      <c r="F29" s="26">
        <f>OUTROS_REMUNERACAO_3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8" x14ac:dyDescent="0.4">
      <c r="A30" s="1"/>
      <c r="B30" s="136" t="s">
        <v>154</v>
      </c>
      <c r="C30" s="107"/>
      <c r="D30" s="107"/>
      <c r="E30" s="108"/>
      <c r="F30" s="27">
        <f>SUM(F22:F29)</f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8" x14ac:dyDescent="0.4">
      <c r="A31" s="1"/>
      <c r="B31" s="22" t="s">
        <v>49</v>
      </c>
      <c r="C31" s="1"/>
      <c r="D31" s="1"/>
      <c r="E31" s="28"/>
      <c r="F31" s="2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8" x14ac:dyDescent="0.4">
      <c r="A32" s="1"/>
      <c r="B32" s="22" t="s">
        <v>136</v>
      </c>
      <c r="C32" s="29"/>
      <c r="D32" s="30"/>
      <c r="E32" s="31"/>
      <c r="F32" s="3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8" x14ac:dyDescent="0.4">
      <c r="A33" s="1"/>
      <c r="B33" s="9" t="s">
        <v>137</v>
      </c>
      <c r="C33" s="121" t="s">
        <v>138</v>
      </c>
      <c r="D33" s="108"/>
      <c r="E33" s="24" t="s">
        <v>76</v>
      </c>
      <c r="F33" s="24" t="s">
        <v>83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8" x14ac:dyDescent="0.4">
      <c r="A34" s="1"/>
      <c r="B34" s="9" t="s">
        <v>14</v>
      </c>
      <c r="C34" s="106" t="s">
        <v>140</v>
      </c>
      <c r="D34" s="108"/>
      <c r="E34" s="32">
        <f>PERC_DEC_TERC</f>
        <v>8.3333333333333321</v>
      </c>
      <c r="F34" s="33">
        <f>PERC_DEC_TERC%*MOD_1_REMUNERACAO_12X36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8" x14ac:dyDescent="0.4">
      <c r="A35" s="1"/>
      <c r="B35" s="24" t="s">
        <v>16</v>
      </c>
      <c r="C35" s="109" t="s">
        <v>142</v>
      </c>
      <c r="D35" s="108"/>
      <c r="E35" s="34">
        <f>PERC_ADIC_FERIAS</f>
        <v>2.7777777777777777</v>
      </c>
      <c r="F35" s="35">
        <f>PERC_ADIC_FERIAS%*MOD_1_REMUNERACAO_12X36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8" x14ac:dyDescent="0.4">
      <c r="A36" s="36"/>
      <c r="B36" s="121" t="s">
        <v>154</v>
      </c>
      <c r="C36" s="107"/>
      <c r="D36" s="107"/>
      <c r="E36" s="108"/>
      <c r="F36" s="37">
        <f>SUM(F34:F35)</f>
        <v>0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6.8" x14ac:dyDescent="0.4">
      <c r="A37" s="36"/>
      <c r="B37" s="159" t="s">
        <v>144</v>
      </c>
      <c r="C37" s="111"/>
      <c r="D37" s="111"/>
      <c r="E37" s="111"/>
      <c r="F37" s="112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16.8" x14ac:dyDescent="0.4">
      <c r="A38" s="36"/>
      <c r="B38" s="9" t="s">
        <v>51</v>
      </c>
      <c r="C38" s="136" t="s">
        <v>145</v>
      </c>
      <c r="D38" s="108"/>
      <c r="E38" s="24" t="s">
        <v>76</v>
      </c>
      <c r="F38" s="24" t="s">
        <v>83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16.8" x14ac:dyDescent="0.4">
      <c r="A39" s="1"/>
      <c r="B39" s="9" t="s">
        <v>14</v>
      </c>
      <c r="C39" s="106" t="s">
        <v>146</v>
      </c>
      <c r="D39" s="108"/>
      <c r="E39" s="32">
        <f>PERC_INSS</f>
        <v>20</v>
      </c>
      <c r="F39" s="33">
        <f>PERC_INSS%*(MOD_1_REMUNERACAO_12X36+'POSTO 12x36 HORAS'!SUBMOD_2_1_DEC_TERC_ADIC_FERIAS_12x36+SUBMOD_2_4_INTERVALO_INTRAJORNADA_12X36)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8" x14ac:dyDescent="0.35">
      <c r="A40" s="5"/>
      <c r="B40" s="24" t="s">
        <v>16</v>
      </c>
      <c r="C40" s="109" t="s">
        <v>147</v>
      </c>
      <c r="D40" s="108"/>
      <c r="E40" s="38">
        <f>PERC_SAL_EDUCACAO</f>
        <v>2.5</v>
      </c>
      <c r="F40" s="35">
        <f>PERC_SAL_EDUCACAO%*(MOD_1_REMUNERACAO_12X36+'POSTO 12x36 HORAS'!SUBMOD_2_1_DEC_TERC_ADIC_FERIAS_12x36)</f>
        <v>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6.8" x14ac:dyDescent="0.35">
      <c r="A41" s="5"/>
      <c r="B41" s="24" t="s">
        <v>18</v>
      </c>
      <c r="C41" s="106" t="s">
        <v>148</v>
      </c>
      <c r="D41" s="108"/>
      <c r="E41" s="32">
        <f>PERC_RAT</f>
        <v>3</v>
      </c>
      <c r="F41" s="33">
        <f>PERC_RAT%*(MOD_1_REMUNERACAO_12X36+'POSTO 12x36 HORAS'!SUBMOD_2_1_DEC_TERC_ADIC_FERIAS_12x36)</f>
        <v>0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6.8" x14ac:dyDescent="0.35">
      <c r="A42" s="5"/>
      <c r="B42" s="24" t="s">
        <v>20</v>
      </c>
      <c r="C42" s="109" t="s">
        <v>149</v>
      </c>
      <c r="D42" s="108"/>
      <c r="E42" s="34">
        <f>PERC_SESC</f>
        <v>1.5</v>
      </c>
      <c r="F42" s="35">
        <f>PERC_SESC%*(MOD_1_REMUNERACAO_12X36+'POSTO 12x36 HORAS'!SUBMOD_2_1_DEC_TERC_ADIC_FERIAS_12x36)</f>
        <v>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6.8" x14ac:dyDescent="0.35">
      <c r="A43" s="5"/>
      <c r="B43" s="24" t="s">
        <v>22</v>
      </c>
      <c r="C43" s="106" t="s">
        <v>150</v>
      </c>
      <c r="D43" s="108"/>
      <c r="E43" s="32">
        <f>PERC_SENAC</f>
        <v>1</v>
      </c>
      <c r="F43" s="33">
        <f>PERC_SENAC%*(MOD_1_REMUNERACAO_12X36+'POSTO 12x36 HORAS'!SUBMOD_2_1_DEC_TERC_ADIC_FERIAS_12x36)</f>
        <v>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6.8" x14ac:dyDescent="0.35">
      <c r="A44" s="5"/>
      <c r="B44" s="24" t="s">
        <v>45</v>
      </c>
      <c r="C44" s="109" t="s">
        <v>151</v>
      </c>
      <c r="D44" s="108"/>
      <c r="E44" s="38">
        <f>PERC_SEBRAE</f>
        <v>0.6</v>
      </c>
      <c r="F44" s="35">
        <f>PERC_SEBRAE%*(MOD_1_REMUNERACAO_12X36+'POSTO 12x36 HORAS'!SUBMOD_2_1_DEC_TERC_ADIC_FERIAS_12x36)</f>
        <v>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6.8" x14ac:dyDescent="0.35">
      <c r="A45" s="5"/>
      <c r="B45" s="24" t="s">
        <v>47</v>
      </c>
      <c r="C45" s="106" t="s">
        <v>152</v>
      </c>
      <c r="D45" s="108"/>
      <c r="E45" s="32">
        <f>PERC_INCRA</f>
        <v>0.2</v>
      </c>
      <c r="F45" s="33">
        <f>PERC_INCRA%*(MOD_1_REMUNERACAO_12X36+'POSTO 12x36 HORAS'!SUBMOD_2_1_DEC_TERC_ADIC_FERIAS_12x36)</f>
        <v>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6.8" x14ac:dyDescent="0.4">
      <c r="A46" s="1"/>
      <c r="B46" s="24" t="s">
        <v>133</v>
      </c>
      <c r="C46" s="109" t="s">
        <v>153</v>
      </c>
      <c r="D46" s="108"/>
      <c r="E46" s="38">
        <f>PERC_FGTS</f>
        <v>8</v>
      </c>
      <c r="F46" s="35">
        <f>PERC_FGTS%*(MOD_1_REMUNERACAO_12X36+'POSTO 12x36 HORAS'!SUBMOD_2_1_DEC_TERC_ADIC_FERIAS_12x36)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8" x14ac:dyDescent="0.4">
      <c r="A47" s="1"/>
      <c r="B47" s="121" t="s">
        <v>154</v>
      </c>
      <c r="C47" s="107"/>
      <c r="D47" s="107"/>
      <c r="E47" s="108"/>
      <c r="F47" s="39">
        <f>SUM(F39:F46)</f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8" x14ac:dyDescent="0.4">
      <c r="A48" s="1"/>
      <c r="B48" s="22" t="s">
        <v>55</v>
      </c>
      <c r="C48" s="5"/>
      <c r="D48" s="5"/>
      <c r="E48" s="5"/>
      <c r="F48" s="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8" x14ac:dyDescent="0.4">
      <c r="A49" s="1"/>
      <c r="B49" s="9" t="s">
        <v>56</v>
      </c>
      <c r="C49" s="136" t="s">
        <v>57</v>
      </c>
      <c r="D49" s="107"/>
      <c r="E49" s="108"/>
      <c r="F49" s="24" t="s">
        <v>83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8" x14ac:dyDescent="0.4">
      <c r="A50" s="1"/>
      <c r="B50" s="7" t="s">
        <v>14</v>
      </c>
      <c r="C50" s="106" t="s">
        <v>59</v>
      </c>
      <c r="D50" s="107"/>
      <c r="E50" s="108"/>
      <c r="F50" s="33">
        <f>IF(((TRANSPORTE_POR_DIA*DIAS_TRABALHADOS_NO_MES_12X36)-(PERC_DESC_TRANSP_REMUNERACAO%*('POSTO 12x36 HORAS'!AL_1_A_SAL_BASE_12x36/2)))&gt;0,((TRANSPORTE_POR_DIA*DIAS_TRABALHADOS_NO_MES_12X36)-(PERC_DESC_TRANSP_REMUNERACAO%*('POSTO 12x36 HORAS'!AL_1_A_SAL_BASE_12x36/2))),0)</f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8" x14ac:dyDescent="0.4">
      <c r="A51" s="36"/>
      <c r="B51" s="7" t="s">
        <v>16</v>
      </c>
      <c r="C51" s="109" t="s">
        <v>61</v>
      </c>
      <c r="D51" s="107"/>
      <c r="E51" s="108"/>
      <c r="F51" s="35">
        <f>IF(AND(ADESAO_AO_PAT="Sim",PERC_PAT&lt;&gt;""),ALIMENTACAO_POR_DIA*DIAS_TRABALHADOS_NO_MES_12X36*(100-PERC_PAT)%,IF(AND(ADESAO_AO_PAT="Sim",PERC_PAT=""),"Insira o % do PAT",ALIMENTACAO_POR_DIA*DIAS_TRABALHADOS_NO_MES_12X36))</f>
        <v>0</v>
      </c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6.8" x14ac:dyDescent="0.4">
      <c r="A52" s="36"/>
      <c r="B52" s="7" t="s">
        <v>18</v>
      </c>
      <c r="C52" s="137" t="str">
        <f>OUTROS_BENEFICIOS_1_DESCRICAO</f>
        <v>Outros Benefícios 1 (Especificar)</v>
      </c>
      <c r="D52" s="107"/>
      <c r="E52" s="108"/>
      <c r="F52" s="33">
        <f>OUTROS_BENEFICIOS_1</f>
        <v>0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6.8" x14ac:dyDescent="0.4">
      <c r="A53" s="36"/>
      <c r="B53" s="7" t="s">
        <v>20</v>
      </c>
      <c r="C53" s="138" t="str">
        <f>OUTROS_BENEFICIOS_2_DESCRICAO</f>
        <v>Outros Benefícios 2 (Especificar)</v>
      </c>
      <c r="D53" s="107"/>
      <c r="E53" s="108"/>
      <c r="F53" s="35">
        <f>OUTROS_BENEFICIOS_2</f>
        <v>0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6.8" x14ac:dyDescent="0.4">
      <c r="A54" s="36"/>
      <c r="B54" s="7" t="s">
        <v>22</v>
      </c>
      <c r="C54" s="137" t="str">
        <f>OUTROS_BENEFICIOS_3_DESCRICAO</f>
        <v>Outros Benefícios 3 (Especificar)</v>
      </c>
      <c r="D54" s="107"/>
      <c r="E54" s="108"/>
      <c r="F54" s="33">
        <f>OUTROS_BENEFICIOS_3</f>
        <v>0</v>
      </c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6.8" x14ac:dyDescent="0.4">
      <c r="A55" s="36"/>
      <c r="B55" s="136" t="s">
        <v>154</v>
      </c>
      <c r="C55" s="107"/>
      <c r="D55" s="107"/>
      <c r="E55" s="108"/>
      <c r="F55" s="27">
        <f>SUM(F50:F54)</f>
        <v>0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6.8" x14ac:dyDescent="0.4">
      <c r="A56" s="1"/>
      <c r="B56" s="22" t="s">
        <v>66</v>
      </c>
      <c r="C56" s="5"/>
      <c r="D56" s="5"/>
      <c r="E56" s="5"/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8" x14ac:dyDescent="0.4">
      <c r="A57" s="1"/>
      <c r="B57" s="9" t="s">
        <v>67</v>
      </c>
      <c r="C57" s="121" t="s">
        <v>68</v>
      </c>
      <c r="D57" s="107"/>
      <c r="E57" s="108"/>
      <c r="F57" s="24" t="s">
        <v>83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8" x14ac:dyDescent="0.4">
      <c r="A58" s="1"/>
      <c r="B58" s="7" t="s">
        <v>14</v>
      </c>
      <c r="C58" s="137" t="s">
        <v>68</v>
      </c>
      <c r="D58" s="107"/>
      <c r="E58" s="108"/>
      <c r="F58" s="33">
        <f>(MOD_1_REMUNERACAO_12X36*(TEMPO_INTERVALO_REFEICAO_INTERV_INTRA/60)*(1+PERC_HORA_EXTRA%)*DIAS_TRABALHADOS_NO_MES_12X36)/DIVISOR_DE_HORAS</f>
        <v>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8" x14ac:dyDescent="0.4">
      <c r="A59" s="5"/>
      <c r="B59" s="121" t="s">
        <v>154</v>
      </c>
      <c r="C59" s="107"/>
      <c r="D59" s="107"/>
      <c r="E59" s="108"/>
      <c r="F59" s="37">
        <f>SUM(F58)</f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8" x14ac:dyDescent="0.4">
      <c r="A60" s="36"/>
      <c r="B60" s="22" t="s">
        <v>118</v>
      </c>
      <c r="C60" s="29"/>
      <c r="D60" s="30"/>
      <c r="E60" s="31"/>
      <c r="F60" s="31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6.8" x14ac:dyDescent="0.4">
      <c r="A61" s="36"/>
      <c r="B61" s="9">
        <v>3</v>
      </c>
      <c r="C61" s="121" t="s">
        <v>119</v>
      </c>
      <c r="D61" s="108"/>
      <c r="E61" s="24" t="s">
        <v>76</v>
      </c>
      <c r="F61" s="24" t="s">
        <v>83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6.8" x14ac:dyDescent="0.4">
      <c r="A62" s="36"/>
      <c r="B62" s="9" t="s">
        <v>14</v>
      </c>
      <c r="C62" s="144" t="s">
        <v>155</v>
      </c>
      <c r="D62" s="108"/>
      <c r="E62" s="32">
        <f>PERC_AVISO_PREVIO_IND</f>
        <v>0.29105124999999998</v>
      </c>
      <c r="F62" s="33">
        <f>PERC_AVISO_PREVIO_IND%*(MOD_1_REMUNERACAO_12X36+'POSTO 12x36 HORAS'!SUBMOD_2_1_DEC_TERC_ADIC_FERIAS_12x36)</f>
        <v>0</v>
      </c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6.8" x14ac:dyDescent="0.4">
      <c r="A63" s="36"/>
      <c r="B63" s="24" t="s">
        <v>16</v>
      </c>
      <c r="C63" s="142" t="s">
        <v>157</v>
      </c>
      <c r="D63" s="108"/>
      <c r="E63" s="38">
        <f>INCID_FGTS_SOBRE_API</f>
        <v>2.3284099999999999E-2</v>
      </c>
      <c r="F63" s="35">
        <f>INCID_FGTS_SOBRE_API%*(MOD_1_REMUNERACAO_12X36+'POSTO 12x36 HORAS'!SUBMOD_2_1_DEC_TERC_ADIC_FERIAS_12x36)</f>
        <v>0</v>
      </c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6.8" x14ac:dyDescent="0.35">
      <c r="A64" s="5"/>
      <c r="B64" s="24" t="s">
        <v>18</v>
      </c>
      <c r="C64" s="144" t="s">
        <v>159</v>
      </c>
      <c r="D64" s="108"/>
      <c r="E64" s="32">
        <f>PERC_MULTA_FGTS_AV_PREV_IND</f>
        <v>0.11176368</v>
      </c>
      <c r="F64" s="33">
        <f>PERC_MULTA_FGTS_AV_PREV_IND%*(MOD_1_REMUNERACAO_12X36+'POSTO 12x36 HORAS'!SUBMOD_2_1_DEC_TERC_ADIC_FERIAS_12x36)</f>
        <v>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6.8" x14ac:dyDescent="0.35">
      <c r="A65" s="5"/>
      <c r="B65" s="24" t="s">
        <v>20</v>
      </c>
      <c r="C65" s="142" t="s">
        <v>161</v>
      </c>
      <c r="D65" s="108"/>
      <c r="E65" s="38">
        <f>PERC_AVISO_PREVIO_TRAB</f>
        <v>1.1557269305555555</v>
      </c>
      <c r="F65" s="35">
        <f>PERC_AVISO_PREVIO_TRAB%*(MOD_1_REMUNERACAO_12X36+'POSTO 12x36 HORAS'!SUBMOD_2_1_DEC_TERC_ADIC_FERIAS_12x36)</f>
        <v>0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6.8" x14ac:dyDescent="0.35">
      <c r="A66" s="5"/>
      <c r="B66" s="24" t="s">
        <v>22</v>
      </c>
      <c r="C66" s="144" t="s">
        <v>163</v>
      </c>
      <c r="D66" s="108"/>
      <c r="E66" s="32">
        <f>INCID_SUBMOD_2_2_APT</f>
        <v>0.42530751044444437</v>
      </c>
      <c r="F66" s="33">
        <f>E66%*(MOD_1_REMUNERACAO_12X36+'POSTO 12x36 HORAS'!SUBMOD_2_1_DEC_TERC_ADIC_FERIAS_12x36)</f>
        <v>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8" x14ac:dyDescent="0.35">
      <c r="A67" s="5"/>
      <c r="B67" s="24" t="s">
        <v>45</v>
      </c>
      <c r="C67" s="142" t="s">
        <v>165</v>
      </c>
      <c r="D67" s="108"/>
      <c r="E67" s="38">
        <f>PERC_MULTA_FGTS_AV_PREV_TRAB</f>
        <v>1.9019963200000001</v>
      </c>
      <c r="F67" s="35">
        <f>PERC_MULTA_FGTS_AV_PREV_TRAB%*(MOD_1_REMUNERACAO_12X36+'POSTO 12x36 HORAS'!SUBMOD_2_1_DEC_TERC_ADIC_FERIAS_12x36)</f>
        <v>0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8" x14ac:dyDescent="0.4">
      <c r="A68" s="5"/>
      <c r="B68" s="121" t="s">
        <v>154</v>
      </c>
      <c r="C68" s="107"/>
      <c r="D68" s="107"/>
      <c r="E68" s="108"/>
      <c r="F68" s="37">
        <f>SUM(F62:F67)</f>
        <v>0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4.6" x14ac:dyDescent="0.4">
      <c r="A69" s="1"/>
      <c r="B69" s="40"/>
      <c r="C69" s="1"/>
      <c r="D69" s="41"/>
      <c r="E69" s="23"/>
      <c r="F69" s="2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8" x14ac:dyDescent="0.4">
      <c r="A70" s="5"/>
      <c r="B70" s="22" t="s">
        <v>72</v>
      </c>
      <c r="C70" s="29"/>
      <c r="D70" s="30"/>
      <c r="E70" s="1"/>
      <c r="F70" s="1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6.8" x14ac:dyDescent="0.4">
      <c r="A71" s="5"/>
      <c r="B71" s="22" t="s">
        <v>73</v>
      </c>
      <c r="C71" s="29"/>
      <c r="D71" s="30"/>
      <c r="E71" s="31"/>
      <c r="F71" s="31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6.8" x14ac:dyDescent="0.35">
      <c r="A72" s="5"/>
      <c r="B72" s="9" t="s">
        <v>74</v>
      </c>
      <c r="C72" s="136" t="s">
        <v>75</v>
      </c>
      <c r="D72" s="108"/>
      <c r="E72" s="24" t="s">
        <v>76</v>
      </c>
      <c r="F72" s="24" t="s">
        <v>83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6.8" x14ac:dyDescent="0.35">
      <c r="A73" s="5"/>
      <c r="B73" s="24" t="s">
        <v>14</v>
      </c>
      <c r="C73" s="106" t="s">
        <v>167</v>
      </c>
      <c r="D73" s="108"/>
      <c r="E73" s="32">
        <f>PERC_SUBSTITUTO_FERIAS</f>
        <v>8.3333333333333321</v>
      </c>
      <c r="F73" s="33">
        <f t="array" ref="F73">PERC_SUBSTITUTO_FERIAS%*(MOD_1_REMUNERACAO_12X36+'POSTO 12x36 HORAS'!MOD_2_ENCARGOS_BENEFICIOS_12x36)</f>
        <v>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6.8" x14ac:dyDescent="0.35">
      <c r="A74" s="5"/>
      <c r="B74" s="24" t="s">
        <v>16</v>
      </c>
      <c r="C74" s="109" t="s">
        <v>169</v>
      </c>
      <c r="D74" s="108"/>
      <c r="E74" s="38">
        <f>PERC_SUBSTITUTO_AUSENCIAS_LEGAIS</f>
        <v>2.2222222222222223</v>
      </c>
      <c r="F74" s="35">
        <f t="array" ref="F74">PERC_SUBSTITUTO_AUSENCIAS_LEGAIS%*(MOD_1_REMUNERACAO_12X36+'POSTO 12x36 HORAS'!MOD_2_ENCARGOS_BENEFICIOS_12x36)</f>
        <v>0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6.8" x14ac:dyDescent="0.35">
      <c r="A75" s="5"/>
      <c r="B75" s="24" t="s">
        <v>18</v>
      </c>
      <c r="C75" s="106" t="s">
        <v>171</v>
      </c>
      <c r="D75" s="108"/>
      <c r="E75" s="32">
        <f>PERC_SUBSTITUTO_LICENCA_PATERNIDADE</f>
        <v>1.7051833333333329E-2</v>
      </c>
      <c r="F75" s="33">
        <f t="array" ref="F75">PERC_SUBSTITUTO_LICENCA_PATERNIDADE%*(MOD_1_REMUNERACAO_12X36+'POSTO 12x36 HORAS'!MOD_2_ENCARGOS_BENEFICIOS_12x36)</f>
        <v>0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6.8" x14ac:dyDescent="0.35">
      <c r="A76" s="5"/>
      <c r="B76" s="24" t="s">
        <v>20</v>
      </c>
      <c r="C76" s="109" t="s">
        <v>173</v>
      </c>
      <c r="D76" s="108"/>
      <c r="E76" s="38">
        <f>PERC_SUBSTITUTO_ACID_TRAB</f>
        <v>1.85302229372558E-2</v>
      </c>
      <c r="F76" s="35">
        <f t="array" ref="F76">PERC_SUBSTITUTO_ACID_TRAB%*(MOD_1_REMUNERACAO_12X36+'POSTO 12x36 HORAS'!MOD_2_ENCARGOS_BENEFICIOS_12x36)</f>
        <v>0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6.8" x14ac:dyDescent="0.35">
      <c r="A77" s="5"/>
      <c r="B77" s="24" t="s">
        <v>22</v>
      </c>
      <c r="C77" s="106" t="s">
        <v>175</v>
      </c>
      <c r="D77" s="108"/>
      <c r="E77" s="32">
        <f>PERC_SUBSTITUTO_AFAST_MATERN</f>
        <v>2.3584874666666662E-2</v>
      </c>
      <c r="F77" s="33">
        <f t="array" ref="F77">PERC_SUBSTITUTO_AFAST_MATERN%*(MOD_1_REMUNERACAO_12X36+'POSTO 12x36 HORAS'!MOD_2_ENCARGOS_BENEFICIOS_12x36)</f>
        <v>0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6.8" x14ac:dyDescent="0.35">
      <c r="A78" s="5"/>
      <c r="B78" s="24" t="s">
        <v>45</v>
      </c>
      <c r="C78" s="145" t="str">
        <f>OUTRAS_AUSENCIAS_DESCRICAO</f>
        <v>Outras Ausências (Especificar em %)</v>
      </c>
      <c r="D78" s="108"/>
      <c r="E78" s="42">
        <f>PERC_SUBSTITUTO_OUTRAS_AUSENCIAS</f>
        <v>0</v>
      </c>
      <c r="F78" s="35">
        <f t="array" ref="F78">PERC_SUBSTITUTO_OUTRAS_AUSENCIAS%*(MOD_1_REMUNERACAO_12X36+'POSTO 12x36 HORAS'!MOD_2_ENCARGOS_BENEFICIOS_12x36)</f>
        <v>0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6.8" x14ac:dyDescent="0.4">
      <c r="A79" s="5"/>
      <c r="B79" s="121" t="s">
        <v>154</v>
      </c>
      <c r="C79" s="107"/>
      <c r="D79" s="107"/>
      <c r="E79" s="108"/>
      <c r="F79" s="37">
        <f>SUM(F73:F78)</f>
        <v>0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6.8" x14ac:dyDescent="0.4">
      <c r="A80" s="5"/>
      <c r="B80" s="22" t="s">
        <v>78</v>
      </c>
      <c r="C80" s="29"/>
      <c r="D80" s="30"/>
      <c r="E80" s="31"/>
      <c r="F80" s="31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6.8" x14ac:dyDescent="0.35">
      <c r="A81" s="5"/>
      <c r="B81" s="9" t="s">
        <v>79</v>
      </c>
      <c r="C81" s="121" t="s">
        <v>80</v>
      </c>
      <c r="D81" s="107"/>
      <c r="E81" s="108"/>
      <c r="F81" s="24" t="s">
        <v>83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6.8" x14ac:dyDescent="0.35">
      <c r="A82" s="5"/>
      <c r="B82" s="9" t="s">
        <v>14</v>
      </c>
      <c r="C82" s="106" t="s">
        <v>191</v>
      </c>
      <c r="D82" s="107"/>
      <c r="E82" s="108"/>
      <c r="F82" s="25">
        <f>((MOD_1_REMUNERACAO_12X36+'POSTO 12x36 HORAS'!MOD_2_ENCARGOS_BENEFICIOS_12x36-SUBMOD_2_4_INTERVALO_INTRAJORNADA_12X36+'POSTO 12x36 HORAS'!MOD_3_PROVISAO_RESCISAO_12x36)/DIVISOR_DE_HORAS)*((TEMPO_INTERVALO_REFEICAO_SUBST_INTRA/HORA_NORMAL))*DIAS_TRABALHADOS_NO_MES_12X36</f>
        <v>0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6.8" x14ac:dyDescent="0.4">
      <c r="A83" s="5"/>
      <c r="B83" s="121" t="s">
        <v>154</v>
      </c>
      <c r="C83" s="107"/>
      <c r="D83" s="107"/>
      <c r="E83" s="108"/>
      <c r="F83" s="37">
        <f>SUM(F82)</f>
        <v>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4.6" x14ac:dyDescent="0.4">
      <c r="A84" s="1"/>
      <c r="B84" s="40"/>
      <c r="C84" s="1"/>
      <c r="D84" s="41"/>
      <c r="E84" s="23"/>
      <c r="F84" s="2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8" x14ac:dyDescent="0.4">
      <c r="A85" s="1"/>
      <c r="B85" s="22" t="s">
        <v>81</v>
      </c>
      <c r="C85" s="29"/>
      <c r="D85" s="29"/>
      <c r="E85" s="31"/>
      <c r="F85" s="3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8" x14ac:dyDescent="0.4">
      <c r="A86" s="1"/>
      <c r="B86" s="43">
        <v>5</v>
      </c>
      <c r="C86" s="140" t="s">
        <v>82</v>
      </c>
      <c r="D86" s="114"/>
      <c r="E86" s="115"/>
      <c r="F86" s="44" t="s">
        <v>83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8" x14ac:dyDescent="0.4">
      <c r="A87" s="1"/>
      <c r="B87" s="45" t="s">
        <v>14</v>
      </c>
      <c r="C87" s="116" t="s">
        <v>84</v>
      </c>
      <c r="D87" s="114"/>
      <c r="E87" s="115"/>
      <c r="F87" s="46">
        <f>UNIFORMES</f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8" x14ac:dyDescent="0.4">
      <c r="A88" s="1"/>
      <c r="B88" s="45" t="s">
        <v>16</v>
      </c>
      <c r="C88" s="113" t="s">
        <v>85</v>
      </c>
      <c r="D88" s="114"/>
      <c r="E88" s="115"/>
      <c r="F88" s="47">
        <f>MATERIAIS</f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8" x14ac:dyDescent="0.4">
      <c r="A89" s="1"/>
      <c r="B89" s="45" t="s">
        <v>18</v>
      </c>
      <c r="C89" s="116" t="s">
        <v>86</v>
      </c>
      <c r="D89" s="114"/>
      <c r="E89" s="115"/>
      <c r="F89" s="46">
        <f>EQUIPAMENTOS</f>
        <v>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8" x14ac:dyDescent="0.4">
      <c r="A90" s="1"/>
      <c r="B90" s="45" t="s">
        <v>20</v>
      </c>
      <c r="C90" s="146" t="str">
        <f>OUTROS_INSUMOS_DESCRICAO</f>
        <v>Outros (Especificar)</v>
      </c>
      <c r="D90" s="114"/>
      <c r="E90" s="115"/>
      <c r="F90" s="47">
        <f>OUTROS_INSUMOS</f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8" x14ac:dyDescent="0.4">
      <c r="A91" s="1"/>
      <c r="B91" s="140" t="s">
        <v>154</v>
      </c>
      <c r="C91" s="114"/>
      <c r="D91" s="114"/>
      <c r="E91" s="115"/>
      <c r="F91" s="48">
        <f>SUM(F87:F90)</f>
        <v>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6" x14ac:dyDescent="0.4">
      <c r="A92" s="1"/>
      <c r="B92" s="40"/>
      <c r="C92" s="1"/>
      <c r="D92" s="41"/>
      <c r="E92" s="23"/>
      <c r="F92" s="2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8" x14ac:dyDescent="0.4">
      <c r="A93" s="1"/>
      <c r="B93" s="120" t="s">
        <v>88</v>
      </c>
      <c r="C93" s="111"/>
      <c r="D93" s="111"/>
      <c r="E93" s="111"/>
      <c r="F93" s="11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8" x14ac:dyDescent="0.4">
      <c r="A94" s="1"/>
      <c r="B94" s="9">
        <v>6</v>
      </c>
      <c r="C94" s="121" t="s">
        <v>89</v>
      </c>
      <c r="D94" s="108"/>
      <c r="E94" s="24" t="s">
        <v>76</v>
      </c>
      <c r="F94" s="24" t="s">
        <v>83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8" x14ac:dyDescent="0.4">
      <c r="A95" s="1"/>
      <c r="B95" s="9" t="s">
        <v>14</v>
      </c>
      <c r="C95" s="106" t="s">
        <v>90</v>
      </c>
      <c r="D95" s="108"/>
      <c r="E95" s="49">
        <f>PERC_CUSTOS_INDIRETOS</f>
        <v>0</v>
      </c>
      <c r="F95" s="33">
        <f>PERC_CUSTOS_INDIRETOS%*(MOD_1_REMUNERACAO_12X36+'POSTO 12x36 HORAS'!MOD_2_ENCARGOS_BENEFICIOS_12x36+'POSTO 12x36 HORAS'!MOD_3_PROVISAO_RESCISAO_12x36+'POSTO 12x36 HORAS'!MOD_4_CUSTO_REPOSICAO_12x36+'POSTO 12x36 HORAS'!MOD_5_INSUMOS_12x36)</f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8" x14ac:dyDescent="0.4">
      <c r="A96" s="1"/>
      <c r="B96" s="24" t="s">
        <v>16</v>
      </c>
      <c r="C96" s="109" t="s">
        <v>91</v>
      </c>
      <c r="D96" s="108"/>
      <c r="E96" s="50">
        <f>PERC_LUCRO</f>
        <v>0</v>
      </c>
      <c r="F96" s="35">
        <f>PERC_LUCRO%*(MOD_1_REMUNERACAO_12X36+'POSTO 12x36 HORAS'!MOD_2_ENCARGOS_BENEFICIOS_12x36+'POSTO 12x36 HORAS'!MOD_3_PROVISAO_RESCISAO_12x36+'POSTO 12x36 HORAS'!MOD_4_CUSTO_REPOSICAO_12x36+'POSTO 12x36 HORAS'!MOD_5_INSUMOS_12x36+'POSTO 12x36 HORAS'!AL_6_A_CUSTOS_INDIRETOS_12x36)</f>
        <v>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8" x14ac:dyDescent="0.4">
      <c r="A97" s="1"/>
      <c r="B97" s="24" t="s">
        <v>18</v>
      </c>
      <c r="C97" s="106" t="s">
        <v>192</v>
      </c>
      <c r="D97" s="108"/>
      <c r="E97" s="49">
        <f t="shared" ref="E97:F97" si="0">SUM(E98:E100)</f>
        <v>0</v>
      </c>
      <c r="F97" s="33">
        <f t="shared" si="0"/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8" x14ac:dyDescent="0.4">
      <c r="A98" s="1"/>
      <c r="B98" s="51" t="s">
        <v>92</v>
      </c>
      <c r="C98" s="147" t="s">
        <v>93</v>
      </c>
      <c r="D98" s="108"/>
      <c r="E98" s="52">
        <f>PERC_PIS</f>
        <v>0</v>
      </c>
      <c r="F98" s="53">
        <f>((MOD_1_REMUNERACAO_12X36+'POSTO 12x36 HORAS'!MOD_2_ENCARGOS_BENEFICIOS_12x36+'POSTO 12x36 HORAS'!MOD_3_PROVISAO_RESCISAO_12x36+'POSTO 12x36 HORAS'!MOD_4_CUSTO_REPOSICAO_12x36+'POSTO 12x36 HORAS'!MOD_5_INSUMOS_12x36+'POSTO 12x36 HORAS'!AL_6_A_CUSTOS_INDIRETOS_12x36+'POSTO 12x36 HORAS'!AL_6_B_LUCRO_12x36)*PERC_PIS%)/(1-'POSTO 12x36 HORAS'!PERC_TRIBUTOS%)</f>
        <v>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8" x14ac:dyDescent="0.4">
      <c r="A99" s="1"/>
      <c r="B99" s="51" t="s">
        <v>94</v>
      </c>
      <c r="C99" s="148" t="s">
        <v>95</v>
      </c>
      <c r="D99" s="108"/>
      <c r="E99" s="54">
        <f>PERC_COFINS</f>
        <v>0</v>
      </c>
      <c r="F99" s="55">
        <f>((MOD_1_REMUNERACAO_12X36+'POSTO 12x36 HORAS'!MOD_2_ENCARGOS_BENEFICIOS_12x36+'POSTO 12x36 HORAS'!MOD_3_PROVISAO_RESCISAO_12x36+'POSTO 12x36 HORAS'!MOD_4_CUSTO_REPOSICAO_12x36+'POSTO 12x36 HORAS'!MOD_5_INSUMOS_12x36+'POSTO 12x36 HORAS'!AL_6_A_CUSTOS_INDIRETOS_12x36+'POSTO 12x36 HORAS'!AL_6_B_LUCRO_12x36)*PERC_COFINS%)/(1-'POSTO 12x36 HORAS'!PERC_TRIBUTOS%)</f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8" x14ac:dyDescent="0.4">
      <c r="A100" s="56"/>
      <c r="B100" s="51" t="s">
        <v>96</v>
      </c>
      <c r="C100" s="147" t="s">
        <v>97</v>
      </c>
      <c r="D100" s="108"/>
      <c r="E100" s="52">
        <f>PERC_ISS</f>
        <v>0</v>
      </c>
      <c r="F100" s="53">
        <f>((MOD_1_REMUNERACAO_12X36+'POSTO 12x36 HORAS'!MOD_2_ENCARGOS_BENEFICIOS_12x36+'POSTO 12x36 HORAS'!MOD_3_PROVISAO_RESCISAO_12x36+'POSTO 12x36 HORAS'!MOD_4_CUSTO_REPOSICAO_12x36+'POSTO 12x36 HORAS'!MOD_5_INSUMOS_12x36+'POSTO 12x36 HORAS'!AL_6_A_CUSTOS_INDIRETOS_12x36+'POSTO 12x36 HORAS'!AL_6_B_LUCRO_12x36)*PERC_ISS%)/(1-'POSTO 12x36 HORAS'!PERC_TRIBUTOS%)</f>
        <v>0</v>
      </c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16.8" x14ac:dyDescent="0.4">
      <c r="A101" s="56"/>
      <c r="B101" s="121" t="s">
        <v>154</v>
      </c>
      <c r="C101" s="107"/>
      <c r="D101" s="107"/>
      <c r="E101" s="108"/>
      <c r="F101" s="57">
        <f>'POSTO 12x36 HORAS'!AL_6_A_CUSTOS_INDIRETOS_12x36+'POSTO 12x36 HORAS'!AL_6_B_LUCRO_12x36+'POSTO 12x36 HORAS'!AL_6_C_TRIBUTOS_12x36</f>
        <v>0</v>
      </c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20.399999999999999" x14ac:dyDescent="0.4">
      <c r="A102" s="56"/>
      <c r="B102" s="58" t="s">
        <v>193</v>
      </c>
      <c r="C102" s="59"/>
      <c r="D102" s="59"/>
      <c r="E102" s="59"/>
      <c r="F102" s="60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16.8" x14ac:dyDescent="0.4">
      <c r="A103" s="61"/>
      <c r="B103" s="24" t="s">
        <v>194</v>
      </c>
      <c r="C103" s="136" t="s">
        <v>195</v>
      </c>
      <c r="D103" s="107"/>
      <c r="E103" s="108"/>
      <c r="F103" s="24" t="s">
        <v>196</v>
      </c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16.8" x14ac:dyDescent="0.4">
      <c r="A104" s="56"/>
      <c r="B104" s="9">
        <v>1</v>
      </c>
      <c r="C104" s="106" t="s">
        <v>38</v>
      </c>
      <c r="D104" s="107"/>
      <c r="E104" s="108"/>
      <c r="F104" s="33">
        <f>MOD_1_REMUNERACAO_12X36</f>
        <v>0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16.8" x14ac:dyDescent="0.4">
      <c r="A105" s="62"/>
      <c r="B105" s="24">
        <v>2</v>
      </c>
      <c r="C105" s="109" t="s">
        <v>197</v>
      </c>
      <c r="D105" s="107"/>
      <c r="E105" s="108"/>
      <c r="F105" s="35">
        <f>'POSTO 12x36 HORAS'!MOD_2_ENCARGOS_BENEFICIOS_12x36</f>
        <v>0</v>
      </c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26" ht="16.8" x14ac:dyDescent="0.4">
      <c r="A106" s="62"/>
      <c r="B106" s="24">
        <v>3</v>
      </c>
      <c r="C106" s="106" t="s">
        <v>119</v>
      </c>
      <c r="D106" s="107"/>
      <c r="E106" s="108"/>
      <c r="F106" s="33">
        <f>'POSTO 12x36 HORAS'!MOD_3_PROVISAO_RESCISAO_12x36</f>
        <v>0</v>
      </c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26" ht="16.8" x14ac:dyDescent="0.4">
      <c r="A107" s="62"/>
      <c r="B107" s="24">
        <v>4</v>
      </c>
      <c r="C107" s="109" t="s">
        <v>198</v>
      </c>
      <c r="D107" s="107"/>
      <c r="E107" s="108"/>
      <c r="F107" s="35">
        <f>'POSTO 12x36 HORAS'!MOD_4_CUSTO_REPOSICAO_12x36</f>
        <v>0</v>
      </c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26" ht="16.8" x14ac:dyDescent="0.4">
      <c r="A108" s="62"/>
      <c r="B108" s="24">
        <v>5</v>
      </c>
      <c r="C108" s="106" t="s">
        <v>82</v>
      </c>
      <c r="D108" s="107"/>
      <c r="E108" s="108"/>
      <c r="F108" s="33">
        <f>'POSTO 12x36 HORAS'!MOD_5_INSUMOS_12x36</f>
        <v>0</v>
      </c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26" ht="16.8" x14ac:dyDescent="0.4">
      <c r="A109" s="62"/>
      <c r="B109" s="24">
        <v>6</v>
      </c>
      <c r="C109" s="109" t="s">
        <v>89</v>
      </c>
      <c r="D109" s="107"/>
      <c r="E109" s="108"/>
      <c r="F109" s="35">
        <f>'POSTO 12x36 HORAS'!MOD_6_CUSTOS_IND_LUCRO_TRIB_12x36</f>
        <v>0</v>
      </c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26" ht="16.8" x14ac:dyDescent="0.4">
      <c r="A110" s="1"/>
      <c r="B110" s="136" t="s">
        <v>199</v>
      </c>
      <c r="C110" s="107"/>
      <c r="D110" s="107"/>
      <c r="E110" s="108"/>
      <c r="F110" s="57">
        <f>SUM(F104:F109)</f>
        <v>0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8" x14ac:dyDescent="0.4">
      <c r="A111" s="1"/>
      <c r="B111" s="136" t="s">
        <v>200</v>
      </c>
      <c r="C111" s="107"/>
      <c r="D111" s="107"/>
      <c r="E111" s="108"/>
      <c r="F111" s="57">
        <f>'POSTO 12x36 HORAS'!VALOR_TOTAL_EMPREGADO_12x36*EMPREG_POR_POSTO</f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8" x14ac:dyDescent="0.4">
      <c r="A112" s="1"/>
      <c r="B112" s="136" t="s">
        <v>201</v>
      </c>
      <c r="C112" s="107"/>
      <c r="D112" s="107"/>
      <c r="E112" s="108"/>
      <c r="F112" s="57">
        <f>'POSTO 12x36 HORAS'!VALOR_TOTAL_EMPREGADO_12x36*EMPREG_POR_POSTO*'POSTO 12x36 HORAS'!QTDE_POSTOS</f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8" x14ac:dyDescent="0.4">
      <c r="A114" s="1"/>
      <c r="B114" s="1" t="s">
        <v>177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8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8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8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8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8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8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8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8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8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8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8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8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8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8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8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8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8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8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8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8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8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8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8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8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8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8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8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8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8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8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8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8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8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8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8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8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8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8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8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8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8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8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8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8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8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8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8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8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8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8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8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8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8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8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8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8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8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8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8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8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8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8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8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8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8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8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8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8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8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8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8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8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8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8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8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8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8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8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8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8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8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8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8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8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8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8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8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8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8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8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8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8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8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8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8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8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8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8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8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8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8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8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8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8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8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8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8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8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8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8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8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8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8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8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8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8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8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8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8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8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8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8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8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8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8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8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8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8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8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8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8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8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8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8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8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8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8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8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8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8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8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8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8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8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8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8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8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8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8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8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8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8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8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8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8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8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8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8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8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8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8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8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8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8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8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8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8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8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8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8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8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8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8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8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8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8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8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8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8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8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8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8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8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8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8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8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8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8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8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8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8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8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8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8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8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8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8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8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8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8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8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8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8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8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8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8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8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8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8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8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8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8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8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8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8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8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8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8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8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8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8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8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8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8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8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8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8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8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8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8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8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8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8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8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8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8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8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8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8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8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8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8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8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8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8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8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8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8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8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8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8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8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8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8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8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8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8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8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8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8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8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8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8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8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8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8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8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8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8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8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8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8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8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8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8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8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8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8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8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8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8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8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8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8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8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8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8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8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8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8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8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8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8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8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8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8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8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8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8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8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8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8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8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8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8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8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8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8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8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8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8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8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8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8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8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8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8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8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8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8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8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8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8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8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8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8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8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8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8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8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8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8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8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8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8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8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8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8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8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8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8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8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8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8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8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8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8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8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8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8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8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8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8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8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8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8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8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8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8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8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8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8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8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8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8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8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8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8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8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8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8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8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8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8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8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8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8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8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8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8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8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8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8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8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8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8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8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8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8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8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8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8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8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8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8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8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8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8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8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8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8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8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8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8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8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8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8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8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8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8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8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8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8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8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8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8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8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8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8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8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8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8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8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8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8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8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8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8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8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8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8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8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8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8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8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8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8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8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8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8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8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8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8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8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8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8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8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8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8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8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8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8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8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8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8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8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8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8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8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8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8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8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8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8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8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8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8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8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8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8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8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8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8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8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8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8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8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8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8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8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8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8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8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8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8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8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8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8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8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8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8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8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8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8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8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8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8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8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8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8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8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0">
    <mergeCell ref="C43:D43"/>
    <mergeCell ref="C78:D78"/>
    <mergeCell ref="B79:E79"/>
    <mergeCell ref="C81:E81"/>
    <mergeCell ref="C82:E82"/>
    <mergeCell ref="C75:D75"/>
    <mergeCell ref="C76:D76"/>
    <mergeCell ref="C77:D77"/>
    <mergeCell ref="B68:E68"/>
    <mergeCell ref="C67:D67"/>
    <mergeCell ref="C72:D72"/>
    <mergeCell ref="C73:D73"/>
    <mergeCell ref="C74:D74"/>
    <mergeCell ref="C62:D62"/>
    <mergeCell ref="C63:D63"/>
    <mergeCell ref="C64:D64"/>
    <mergeCell ref="C38:D38"/>
    <mergeCell ref="C39:D39"/>
    <mergeCell ref="C40:D40"/>
    <mergeCell ref="C41:D41"/>
    <mergeCell ref="C42:D42"/>
    <mergeCell ref="C33:D33"/>
    <mergeCell ref="C34:D34"/>
    <mergeCell ref="C35:D35"/>
    <mergeCell ref="B36:E36"/>
    <mergeCell ref="B37:F37"/>
    <mergeCell ref="C26:E26"/>
    <mergeCell ref="C27:E27"/>
    <mergeCell ref="C28:E28"/>
    <mergeCell ref="C29:E29"/>
    <mergeCell ref="B30:E30"/>
    <mergeCell ref="C21:E21"/>
    <mergeCell ref="C22:E22"/>
    <mergeCell ref="C23:E23"/>
    <mergeCell ref="C24:E24"/>
    <mergeCell ref="C25:E25"/>
    <mergeCell ref="D15:F15"/>
    <mergeCell ref="D16:F16"/>
    <mergeCell ref="C17:E17"/>
    <mergeCell ref="B18:F18"/>
    <mergeCell ref="B19:E19"/>
    <mergeCell ref="C10:E10"/>
    <mergeCell ref="C11:E11"/>
    <mergeCell ref="C12:E12"/>
    <mergeCell ref="C14:D14"/>
    <mergeCell ref="E14:F14"/>
    <mergeCell ref="B6:C6"/>
    <mergeCell ref="D6:E6"/>
    <mergeCell ref="B7:F7"/>
    <mergeCell ref="C8:E8"/>
    <mergeCell ref="D9:F9"/>
    <mergeCell ref="B1:F1"/>
    <mergeCell ref="B2:D2"/>
    <mergeCell ref="B3:F3"/>
    <mergeCell ref="B4:F4"/>
    <mergeCell ref="B5:C5"/>
    <mergeCell ref="D5:F5"/>
    <mergeCell ref="B101:E101"/>
    <mergeCell ref="C103:E103"/>
    <mergeCell ref="B111:E111"/>
    <mergeCell ref="B112:E112"/>
    <mergeCell ref="C104:E104"/>
    <mergeCell ref="C105:E105"/>
    <mergeCell ref="C106:E106"/>
    <mergeCell ref="C107:E107"/>
    <mergeCell ref="C108:E108"/>
    <mergeCell ref="C109:E109"/>
    <mergeCell ref="B110:E110"/>
    <mergeCell ref="C96:D96"/>
    <mergeCell ref="C97:D97"/>
    <mergeCell ref="C98:D98"/>
    <mergeCell ref="C99:D99"/>
    <mergeCell ref="C100:D100"/>
    <mergeCell ref="C90:E90"/>
    <mergeCell ref="B91:E91"/>
    <mergeCell ref="B93:F93"/>
    <mergeCell ref="C94:D94"/>
    <mergeCell ref="C95:D95"/>
    <mergeCell ref="C88:E88"/>
    <mergeCell ref="C89:E89"/>
    <mergeCell ref="B83:E83"/>
    <mergeCell ref="C86:E86"/>
    <mergeCell ref="C87:E87"/>
    <mergeCell ref="C65:D65"/>
    <mergeCell ref="C66:D66"/>
    <mergeCell ref="B55:E55"/>
    <mergeCell ref="C57:E57"/>
    <mergeCell ref="C58:E58"/>
    <mergeCell ref="B59:E59"/>
    <mergeCell ref="C61:D61"/>
    <mergeCell ref="C50:E50"/>
    <mergeCell ref="C51:E51"/>
    <mergeCell ref="C52:E52"/>
    <mergeCell ref="C53:E53"/>
    <mergeCell ref="C54:E54"/>
    <mergeCell ref="C44:D44"/>
    <mergeCell ref="C45:D45"/>
    <mergeCell ref="C46:D46"/>
    <mergeCell ref="B47:E47"/>
    <mergeCell ref="C49:E49"/>
  </mergeCells>
  <conditionalFormatting sqref="F51">
    <cfRule type="cellIs" dxfId="1" priority="1" operator="equal">
      <formula>"Insira o % do PAT"</formula>
    </cfRule>
  </conditionalFormatting>
  <printOptions horizontalCentered="1"/>
  <pageMargins left="0.78740157480314965" right="0.78740157480314965" top="0.78740157480314965" bottom="0.78740157480314965" header="0" footer="0"/>
  <pageSetup paperSize="9" scale="77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tabSelected="1" zoomScaleNormal="100" workbookViewId="0">
      <selection activeCell="B1" sqref="B1:F1"/>
    </sheetView>
  </sheetViews>
  <sheetFormatPr defaultColWidth="12.5546875" defaultRowHeight="15" x14ac:dyDescent="0.35"/>
  <cols>
    <col min="1" max="1" width="2.6640625" style="2" customWidth="1"/>
    <col min="2" max="2" width="8.88671875" style="2" customWidth="1"/>
    <col min="3" max="3" width="52.5546875" style="2" customWidth="1"/>
    <col min="4" max="4" width="15.6640625" style="2" customWidth="1"/>
    <col min="5" max="5" width="13.5546875" style="2" customWidth="1"/>
    <col min="6" max="6" width="19.44140625" style="2" customWidth="1"/>
    <col min="7" max="26" width="9.109375" style="2" customWidth="1"/>
    <col min="27" max="16384" width="12.5546875" style="2"/>
  </cols>
  <sheetData>
    <row r="1" spans="1:26" ht="20.399999999999999" x14ac:dyDescent="0.45">
      <c r="A1" s="1"/>
      <c r="B1" s="149" t="str">
        <f>RAMO</f>
        <v>RAMO:</v>
      </c>
      <c r="C1" s="107"/>
      <c r="D1" s="107"/>
      <c r="E1" s="107"/>
      <c r="F1" s="10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399999999999999" x14ac:dyDescent="0.45">
      <c r="A2" s="1"/>
      <c r="B2" s="150" t="str">
        <f>UG</f>
        <v>UNIDADE GESTORA (SIGLA):</v>
      </c>
      <c r="C2" s="107"/>
      <c r="D2" s="108"/>
      <c r="E2" s="3" t="s">
        <v>2</v>
      </c>
      <c r="F2" s="4" t="str">
        <f>DATA_DO_ORCAMENTO_ESTIMATIVO</f>
        <v>XX/XX/20XX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6" x14ac:dyDescent="0.55000000000000004">
      <c r="A3" s="5"/>
      <c r="B3" s="123" t="s">
        <v>178</v>
      </c>
      <c r="C3" s="111"/>
      <c r="D3" s="111"/>
      <c r="E3" s="111"/>
      <c r="F3" s="11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6.8" x14ac:dyDescent="0.4">
      <c r="A4" s="5"/>
      <c r="B4" s="124" t="s">
        <v>5</v>
      </c>
      <c r="C4" s="125"/>
      <c r="D4" s="125"/>
      <c r="E4" s="125"/>
      <c r="F4" s="12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6.8" x14ac:dyDescent="0.4">
      <c r="A5" s="5"/>
      <c r="B5" s="127" t="s">
        <v>179</v>
      </c>
      <c r="C5" s="108"/>
      <c r="D5" s="151" t="str">
        <f>NUMERO_PROCESSO</f>
        <v>X.XX.XXX.XXXXXX/20XX-XX</v>
      </c>
      <c r="E5" s="107"/>
      <c r="F5" s="108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6.8" x14ac:dyDescent="0.4">
      <c r="A6" s="5"/>
      <c r="B6" s="130" t="s">
        <v>180</v>
      </c>
      <c r="C6" s="108"/>
      <c r="D6" s="152" t="str">
        <f>MODALIDADE_DE_LICITACAO</f>
        <v>Pregão nº</v>
      </c>
      <c r="E6" s="108"/>
      <c r="F6" s="6" t="str">
        <f>NUMERO_PREGAO</f>
        <v>XX/20XX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9.2" x14ac:dyDescent="0.45">
      <c r="A7" s="5"/>
      <c r="B7" s="153" t="s">
        <v>181</v>
      </c>
      <c r="C7" s="154"/>
      <c r="D7" s="154"/>
      <c r="E7" s="154"/>
      <c r="F7" s="15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8" x14ac:dyDescent="0.4">
      <c r="A8" s="5"/>
      <c r="B8" s="7" t="s">
        <v>14</v>
      </c>
      <c r="C8" s="127" t="s">
        <v>15</v>
      </c>
      <c r="D8" s="107"/>
      <c r="E8" s="108"/>
      <c r="F8" s="8" t="str">
        <f>DATA_APRESENTACAO_PROPOSTA</f>
        <v>XX/XX/20XX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6.8" x14ac:dyDescent="0.35">
      <c r="A9" s="5"/>
      <c r="B9" s="9" t="s">
        <v>16</v>
      </c>
      <c r="C9" s="10" t="s">
        <v>17</v>
      </c>
      <c r="D9" s="142" t="str">
        <f>IF(LOCAL_DE_EXECUCAO="","",LOCAL_DE_EXECUCAO)</f>
        <v/>
      </c>
      <c r="E9" s="107"/>
      <c r="F9" s="10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6.8" x14ac:dyDescent="0.4">
      <c r="A10" s="5"/>
      <c r="B10" s="7" t="s">
        <v>18</v>
      </c>
      <c r="C10" s="127" t="s">
        <v>21</v>
      </c>
      <c r="D10" s="107"/>
      <c r="E10" s="108"/>
      <c r="F10" s="11" t="str">
        <f>ACORDO_COLETIVO</f>
        <v>XX/20XX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6.8" x14ac:dyDescent="0.4">
      <c r="A11" s="5"/>
      <c r="B11" s="9" t="s">
        <v>20</v>
      </c>
      <c r="C11" s="142" t="s">
        <v>23</v>
      </c>
      <c r="D11" s="107"/>
      <c r="E11" s="108"/>
      <c r="F11" s="12">
        <f>NUMERO_MESES_EXEC_CONTRATUAL</f>
        <v>12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6.8" x14ac:dyDescent="0.4">
      <c r="A12" s="5"/>
      <c r="B12" s="9" t="s">
        <v>22</v>
      </c>
      <c r="C12" s="144" t="s">
        <v>182</v>
      </c>
      <c r="D12" s="107"/>
      <c r="E12" s="108"/>
      <c r="F12" s="13" t="str">
        <f>IF('POSTO 44 HORAS'!QTDE_POSTOS="","",'POSTO 44 HORAS'!QTDE_POSTOS)</f>
        <v/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.6" x14ac:dyDescent="0.35">
      <c r="A13" s="14"/>
      <c r="B13" s="15" t="s">
        <v>36</v>
      </c>
      <c r="C13" s="16"/>
      <c r="D13" s="16"/>
      <c r="E13" s="16"/>
      <c r="F13" s="1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6.8" x14ac:dyDescent="0.4">
      <c r="A14" s="5"/>
      <c r="B14" s="7">
        <v>1</v>
      </c>
      <c r="C14" s="127" t="s">
        <v>183</v>
      </c>
      <c r="D14" s="108"/>
      <c r="E14" s="151" t="str">
        <f>IF(TIPO_DE_SERVICO="","",TIPO_DE_SERVICO)</f>
        <v/>
      </c>
      <c r="F14" s="108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6.8" x14ac:dyDescent="0.4">
      <c r="A15" s="5"/>
      <c r="B15" s="7">
        <v>2</v>
      </c>
      <c r="C15" s="17" t="s">
        <v>32</v>
      </c>
      <c r="D15" s="155" t="str">
        <f>IF(CBO="","",CBO)</f>
        <v/>
      </c>
      <c r="E15" s="107"/>
      <c r="F15" s="108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.8" x14ac:dyDescent="0.4">
      <c r="A16" s="5"/>
      <c r="B16" s="7">
        <v>3</v>
      </c>
      <c r="C16" s="18" t="s">
        <v>33</v>
      </c>
      <c r="D16" s="151" t="str">
        <f>IF(CATEGORIA_PROFISSIONAL="","",CATEGORIA_PROFISSIONAL)</f>
        <v/>
      </c>
      <c r="E16" s="107"/>
      <c r="F16" s="10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8" x14ac:dyDescent="0.4">
      <c r="A17" s="5"/>
      <c r="B17" s="7">
        <v>4</v>
      </c>
      <c r="C17" s="130" t="s">
        <v>34</v>
      </c>
      <c r="D17" s="107"/>
      <c r="E17" s="108"/>
      <c r="F17" s="19" t="str">
        <f>DATA_BASE_CATEGORIA</f>
        <v>XX/XX/20XX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9.4" x14ac:dyDescent="0.4">
      <c r="A18" s="20"/>
      <c r="B18" s="156" t="s">
        <v>184</v>
      </c>
      <c r="C18" s="125"/>
      <c r="D18" s="125"/>
      <c r="E18" s="125"/>
      <c r="F18" s="157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6.8" x14ac:dyDescent="0.4">
      <c r="A19" s="1"/>
      <c r="B19" s="121" t="s">
        <v>185</v>
      </c>
      <c r="C19" s="107"/>
      <c r="D19" s="107"/>
      <c r="E19" s="108"/>
      <c r="F19" s="21" t="str">
        <f>IF(EMPREG_POR_POSTO="","",EMPREG_POR_POSTO)</f>
        <v/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8" x14ac:dyDescent="0.4">
      <c r="A20" s="1"/>
      <c r="B20" s="22" t="s">
        <v>37</v>
      </c>
      <c r="C20" s="1"/>
      <c r="D20" s="1"/>
      <c r="E20" s="23"/>
      <c r="F20" s="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8" x14ac:dyDescent="0.4">
      <c r="A21" s="1"/>
      <c r="B21" s="9">
        <v>1</v>
      </c>
      <c r="C21" s="136" t="s">
        <v>38</v>
      </c>
      <c r="D21" s="107"/>
      <c r="E21" s="108"/>
      <c r="F21" s="24" t="s">
        <v>83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8" x14ac:dyDescent="0.4">
      <c r="A22" s="1"/>
      <c r="B22" s="9" t="s">
        <v>14</v>
      </c>
      <c r="C22" s="137" t="s">
        <v>186</v>
      </c>
      <c r="D22" s="107"/>
      <c r="E22" s="108"/>
      <c r="F22" s="25">
        <f>SALARIO_BASE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8" x14ac:dyDescent="0.4">
      <c r="A23" s="1"/>
      <c r="B23" s="9" t="s">
        <v>16</v>
      </c>
      <c r="C23" s="109" t="s">
        <v>187</v>
      </c>
      <c r="D23" s="107"/>
      <c r="E23" s="108"/>
      <c r="F23" s="26">
        <f>PERC_ADIC_PERIC%*SALARIO_BASE</f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8" x14ac:dyDescent="0.4">
      <c r="A24" s="1"/>
      <c r="B24" s="9" t="s">
        <v>18</v>
      </c>
      <c r="C24" s="106" t="s">
        <v>190</v>
      </c>
      <c r="D24" s="107"/>
      <c r="E24" s="108"/>
      <c r="F24" s="25">
        <f>PERC_ADIC_INS%*SAL_MINIMO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8" x14ac:dyDescent="0.4">
      <c r="A25" s="1"/>
      <c r="B25" s="9" t="s">
        <v>20</v>
      </c>
      <c r="C25" s="138" t="str">
        <f>OUTROS_REMUNERACAO_1_DESCRICAO</f>
        <v>Outras Remunerações 1 (Especificar)</v>
      </c>
      <c r="D25" s="107"/>
      <c r="E25" s="108"/>
      <c r="F25" s="26">
        <f>OUTROS_REMUNERACAO_1</f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8" x14ac:dyDescent="0.4">
      <c r="A26" s="1"/>
      <c r="B26" s="9" t="s">
        <v>22</v>
      </c>
      <c r="C26" s="137" t="str">
        <f>OUTROS_REMUNERACAO_2_DESCRICAO</f>
        <v>Outras Remunerações 2 (Especificar)</v>
      </c>
      <c r="D26" s="107"/>
      <c r="E26" s="108"/>
      <c r="F26" s="25">
        <f>OUTROS_REMUNERACAO_2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8" x14ac:dyDescent="0.4">
      <c r="A27" s="1"/>
      <c r="B27" s="9" t="s">
        <v>45</v>
      </c>
      <c r="C27" s="138" t="str">
        <f>OUTROS_REMUNERACAO_3_DESCRICAO</f>
        <v>Outras Remunerações 3 (Especificar)</v>
      </c>
      <c r="D27" s="107"/>
      <c r="E27" s="108"/>
      <c r="F27" s="26">
        <f>OUTROS_REMUNERACAO_3</f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8" x14ac:dyDescent="0.4">
      <c r="A28" s="1"/>
      <c r="B28" s="136" t="s">
        <v>154</v>
      </c>
      <c r="C28" s="107"/>
      <c r="D28" s="107"/>
      <c r="E28" s="108"/>
      <c r="F28" s="27">
        <f>SUM(F22:F27)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8" x14ac:dyDescent="0.4">
      <c r="A29" s="1"/>
      <c r="B29" s="22" t="s">
        <v>49</v>
      </c>
      <c r="C29" s="1"/>
      <c r="D29" s="1"/>
      <c r="E29" s="28"/>
      <c r="F29" s="2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8" x14ac:dyDescent="0.4">
      <c r="A30" s="1"/>
      <c r="B30" s="22" t="s">
        <v>136</v>
      </c>
      <c r="C30" s="29"/>
      <c r="D30" s="30"/>
      <c r="E30" s="31"/>
      <c r="F30" s="3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8" x14ac:dyDescent="0.4">
      <c r="A31" s="1"/>
      <c r="B31" s="9" t="s">
        <v>137</v>
      </c>
      <c r="C31" s="121" t="s">
        <v>138</v>
      </c>
      <c r="D31" s="108"/>
      <c r="E31" s="24" t="s">
        <v>76</v>
      </c>
      <c r="F31" s="24" t="s">
        <v>83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8" x14ac:dyDescent="0.4">
      <c r="A32" s="1"/>
      <c r="B32" s="9" t="s">
        <v>14</v>
      </c>
      <c r="C32" s="106" t="s">
        <v>140</v>
      </c>
      <c r="D32" s="108"/>
      <c r="E32" s="32">
        <f>PERC_DEC_TERC</f>
        <v>8.3333333333333321</v>
      </c>
      <c r="F32" s="33">
        <f>PERC_DEC_TERC%*'POSTO 44 HORAS'!MOD_1_REMUNERACAO_44H</f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8" x14ac:dyDescent="0.4">
      <c r="A33" s="1"/>
      <c r="B33" s="24" t="s">
        <v>16</v>
      </c>
      <c r="C33" s="109" t="s">
        <v>142</v>
      </c>
      <c r="D33" s="108"/>
      <c r="E33" s="34">
        <f>PERC_ADIC_FERIAS</f>
        <v>2.7777777777777777</v>
      </c>
      <c r="F33" s="35">
        <f>PERC_ADIC_FERIAS%*'POSTO 44 HORAS'!MOD_1_REMUNERACAO_44H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8" x14ac:dyDescent="0.4">
      <c r="A34" s="36"/>
      <c r="B34" s="121" t="s">
        <v>154</v>
      </c>
      <c r="C34" s="107"/>
      <c r="D34" s="107"/>
      <c r="E34" s="108"/>
      <c r="F34" s="37">
        <f>SUM(F32:F33)</f>
        <v>0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6.8" x14ac:dyDescent="0.4">
      <c r="A35" s="36"/>
      <c r="B35" s="159" t="s">
        <v>144</v>
      </c>
      <c r="C35" s="111"/>
      <c r="D35" s="111"/>
      <c r="E35" s="111"/>
      <c r="F35" s="112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6.8" x14ac:dyDescent="0.4">
      <c r="A36" s="36"/>
      <c r="B36" s="9" t="s">
        <v>51</v>
      </c>
      <c r="C36" s="136" t="s">
        <v>145</v>
      </c>
      <c r="D36" s="108"/>
      <c r="E36" s="24" t="s">
        <v>76</v>
      </c>
      <c r="F36" s="24" t="s">
        <v>83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16.8" x14ac:dyDescent="0.4">
      <c r="A37" s="1"/>
      <c r="B37" s="9" t="s">
        <v>14</v>
      </c>
      <c r="C37" s="106" t="s">
        <v>146</v>
      </c>
      <c r="D37" s="108"/>
      <c r="E37" s="32">
        <f>PERC_INSS</f>
        <v>20</v>
      </c>
      <c r="F37" s="33">
        <f>PERC_INSS%*('POSTO 44 HORAS'!MOD_1_REMUNERACAO_44H+SUBMOD_2_1_DEC_TERC_ADIC_FERIAS_44H)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8" x14ac:dyDescent="0.35">
      <c r="A38" s="5"/>
      <c r="B38" s="24" t="s">
        <v>16</v>
      </c>
      <c r="C38" s="109" t="s">
        <v>147</v>
      </c>
      <c r="D38" s="108"/>
      <c r="E38" s="38">
        <f>PERC_SAL_EDUCACAO</f>
        <v>2.5</v>
      </c>
      <c r="F38" s="35">
        <f>PERC_SAL_EDUCACAO%*('POSTO 44 HORAS'!MOD_1_REMUNERACAO_44H+SUBMOD_2_1_DEC_TERC_ADIC_FERIAS_44H)</f>
        <v>0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6.8" x14ac:dyDescent="0.35">
      <c r="A39" s="5"/>
      <c r="B39" s="24" t="s">
        <v>18</v>
      </c>
      <c r="C39" s="106" t="s">
        <v>148</v>
      </c>
      <c r="D39" s="108"/>
      <c r="E39" s="32">
        <f>PERC_RAT</f>
        <v>3</v>
      </c>
      <c r="F39" s="33">
        <f>PERC_RAT%*('POSTO 44 HORAS'!MOD_1_REMUNERACAO_44H+SUBMOD_2_1_DEC_TERC_ADIC_FERIAS_44H)</f>
        <v>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6.8" x14ac:dyDescent="0.35">
      <c r="A40" s="5"/>
      <c r="B40" s="24" t="s">
        <v>20</v>
      </c>
      <c r="C40" s="109" t="s">
        <v>149</v>
      </c>
      <c r="D40" s="108"/>
      <c r="E40" s="34">
        <f>PERC_SESC</f>
        <v>1.5</v>
      </c>
      <c r="F40" s="35">
        <f>PERC_SESC%*('POSTO 44 HORAS'!MOD_1_REMUNERACAO_44H+SUBMOD_2_1_DEC_TERC_ADIC_FERIAS_44H)</f>
        <v>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6.8" x14ac:dyDescent="0.35">
      <c r="A41" s="5"/>
      <c r="B41" s="24" t="s">
        <v>22</v>
      </c>
      <c r="C41" s="106" t="s">
        <v>150</v>
      </c>
      <c r="D41" s="108"/>
      <c r="E41" s="32">
        <f>PERC_SENAC</f>
        <v>1</v>
      </c>
      <c r="F41" s="33">
        <f>PERC_SENAC%*('POSTO 44 HORAS'!MOD_1_REMUNERACAO_44H+SUBMOD_2_1_DEC_TERC_ADIC_FERIAS_44H)</f>
        <v>0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6.8" x14ac:dyDescent="0.35">
      <c r="A42" s="5"/>
      <c r="B42" s="24" t="s">
        <v>45</v>
      </c>
      <c r="C42" s="109" t="s">
        <v>151</v>
      </c>
      <c r="D42" s="108"/>
      <c r="E42" s="38">
        <f>PERC_SEBRAE</f>
        <v>0.6</v>
      </c>
      <c r="F42" s="35">
        <f>PERC_SEBRAE%*('POSTO 44 HORAS'!MOD_1_REMUNERACAO_44H+SUBMOD_2_1_DEC_TERC_ADIC_FERIAS_44H)</f>
        <v>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6.8" x14ac:dyDescent="0.35">
      <c r="A43" s="5"/>
      <c r="B43" s="24" t="s">
        <v>47</v>
      </c>
      <c r="C43" s="106" t="s">
        <v>152</v>
      </c>
      <c r="D43" s="108"/>
      <c r="E43" s="32">
        <f>PERC_INCRA</f>
        <v>0.2</v>
      </c>
      <c r="F43" s="33">
        <f>PERC_INCRA%*('POSTO 44 HORAS'!MOD_1_REMUNERACAO_44H+SUBMOD_2_1_DEC_TERC_ADIC_FERIAS_44H)</f>
        <v>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6.8" x14ac:dyDescent="0.4">
      <c r="A44" s="1"/>
      <c r="B44" s="24" t="s">
        <v>133</v>
      </c>
      <c r="C44" s="109" t="s">
        <v>153</v>
      </c>
      <c r="D44" s="108"/>
      <c r="E44" s="38">
        <f>PERC_FGTS</f>
        <v>8</v>
      </c>
      <c r="F44" s="35">
        <f>PERC_FGTS%*('POSTO 44 HORAS'!MOD_1_REMUNERACAO_44H+SUBMOD_2_1_DEC_TERC_ADIC_FERIAS_44H)</f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8" x14ac:dyDescent="0.4">
      <c r="A45" s="1"/>
      <c r="B45" s="121" t="s">
        <v>154</v>
      </c>
      <c r="C45" s="107"/>
      <c r="D45" s="107"/>
      <c r="E45" s="108"/>
      <c r="F45" s="39">
        <f>SUM(F37:F44)</f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8" x14ac:dyDescent="0.4">
      <c r="A46" s="1"/>
      <c r="B46" s="22" t="s">
        <v>55</v>
      </c>
      <c r="C46" s="5"/>
      <c r="D46" s="5"/>
      <c r="E46" s="5"/>
      <c r="F46" s="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8" x14ac:dyDescent="0.4">
      <c r="A47" s="1"/>
      <c r="B47" s="9" t="s">
        <v>56</v>
      </c>
      <c r="C47" s="136" t="s">
        <v>57</v>
      </c>
      <c r="D47" s="107"/>
      <c r="E47" s="108"/>
      <c r="F47" s="24" t="s">
        <v>83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8" x14ac:dyDescent="0.4">
      <c r="A48" s="1"/>
      <c r="B48" s="7" t="s">
        <v>14</v>
      </c>
      <c r="C48" s="106" t="s">
        <v>59</v>
      </c>
      <c r="D48" s="107"/>
      <c r="E48" s="108"/>
      <c r="F48" s="33">
        <f>IF(((TRANSPORTE_POR_DIA*DIAS_UTEIS_TRABALHADOS_NO_MES_44HORAS)-(PERC_DESC_TRANSP_REMUNERACAO%*('POSTO 44 HORAS'!AL_1_A_SAL_BASE_44H)))&gt;0,((TRANSPORTE_POR_DIA*DIAS_UTEIS_TRABALHADOS_NO_MES_44HORAS)-(PERC_DESC_TRANSP_REMUNERACAO%*('POSTO 44 HORAS'!AL_1_A_SAL_BASE_44H))),0)</f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8" x14ac:dyDescent="0.4">
      <c r="A49" s="36"/>
      <c r="B49" s="7" t="s">
        <v>16</v>
      </c>
      <c r="C49" s="109" t="s">
        <v>61</v>
      </c>
      <c r="D49" s="107"/>
      <c r="E49" s="108"/>
      <c r="F49" s="35">
        <f>IF(AND(ADESAO_AO_PAT="Sim",PERC_PAT&lt;&gt;""),ALIMENTACAO_POR_DIA*DIAS_UTEIS_TRABALHADOS_NO_MES_44HORAS*(100-PERC_PAT)%,IF(AND(ADESAO_AO_PAT="Sim",PERC_PAT=""),"Insira o % do PAT",ALIMENTACAO_POR_DIA*DIAS_UTEIS_TRABALHADOS_NO_MES_44HORAS))</f>
        <v>0</v>
      </c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6.8" x14ac:dyDescent="0.4">
      <c r="A50" s="36"/>
      <c r="B50" s="7" t="s">
        <v>18</v>
      </c>
      <c r="C50" s="137" t="str">
        <f>OUTROS_BENEFICIOS_1_DESCRICAO</f>
        <v>Outros Benefícios 1 (Especificar)</v>
      </c>
      <c r="D50" s="107"/>
      <c r="E50" s="108"/>
      <c r="F50" s="33">
        <f>OUTROS_BENEFICIOS_1</f>
        <v>0</v>
      </c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6.8" x14ac:dyDescent="0.4">
      <c r="A51" s="36"/>
      <c r="B51" s="7" t="s">
        <v>20</v>
      </c>
      <c r="C51" s="138" t="str">
        <f>OUTROS_BENEFICIOS_2_DESCRICAO</f>
        <v>Outros Benefícios 2 (Especificar)</v>
      </c>
      <c r="D51" s="107"/>
      <c r="E51" s="108"/>
      <c r="F51" s="35">
        <f>OUTROS_BENEFICIOS_2</f>
        <v>0</v>
      </c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6.8" x14ac:dyDescent="0.4">
      <c r="A52" s="36"/>
      <c r="B52" s="7" t="s">
        <v>22</v>
      </c>
      <c r="C52" s="137" t="str">
        <f>OUTROS_BENEFICIOS_3_DESCRICAO</f>
        <v>Outros Benefícios 3 (Especificar)</v>
      </c>
      <c r="D52" s="107"/>
      <c r="E52" s="108"/>
      <c r="F52" s="33">
        <f>OUTROS_BENEFICIOS_3</f>
        <v>0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6.8" x14ac:dyDescent="0.4">
      <c r="A53" s="36"/>
      <c r="B53" s="136" t="s">
        <v>154</v>
      </c>
      <c r="C53" s="107"/>
      <c r="D53" s="107"/>
      <c r="E53" s="108"/>
      <c r="F53" s="27">
        <f>SUM(F48:F52)</f>
        <v>0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6.8" x14ac:dyDescent="0.4">
      <c r="A54" s="36"/>
      <c r="B54" s="22" t="s">
        <v>118</v>
      </c>
      <c r="C54" s="29"/>
      <c r="D54" s="30"/>
      <c r="E54" s="31"/>
      <c r="F54" s="31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6.8" x14ac:dyDescent="0.4">
      <c r="A55" s="36"/>
      <c r="B55" s="9">
        <v>3</v>
      </c>
      <c r="C55" s="121" t="s">
        <v>119</v>
      </c>
      <c r="D55" s="108"/>
      <c r="E55" s="24" t="s">
        <v>76</v>
      </c>
      <c r="F55" s="24" t="s">
        <v>83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6.8" x14ac:dyDescent="0.4">
      <c r="A56" s="36"/>
      <c r="B56" s="9" t="s">
        <v>14</v>
      </c>
      <c r="C56" s="144" t="s">
        <v>155</v>
      </c>
      <c r="D56" s="108"/>
      <c r="E56" s="32">
        <f>PERC_AVISO_PREVIO_IND</f>
        <v>0.29105124999999998</v>
      </c>
      <c r="F56" s="33">
        <f>PERC_AVISO_PREVIO_IND%*('POSTO 44 HORAS'!MOD_1_REMUNERACAO_44H+SUBMOD_2_1_DEC_TERC_ADIC_FERIAS_44H)</f>
        <v>0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6.8" x14ac:dyDescent="0.4">
      <c r="A57" s="36"/>
      <c r="B57" s="24" t="s">
        <v>16</v>
      </c>
      <c r="C57" s="142" t="s">
        <v>157</v>
      </c>
      <c r="D57" s="108"/>
      <c r="E57" s="38">
        <f>INCID_FGTS_SOBRE_API</f>
        <v>2.3284099999999999E-2</v>
      </c>
      <c r="F57" s="35">
        <f>INCID_FGTS_SOBRE_API%*('POSTO 44 HORAS'!MOD_1_REMUNERACAO_44H+SUBMOD_2_1_DEC_TERC_ADIC_FERIAS_44H)</f>
        <v>0</v>
      </c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6.8" x14ac:dyDescent="0.35">
      <c r="A58" s="5"/>
      <c r="B58" s="24" t="s">
        <v>18</v>
      </c>
      <c r="C58" s="144" t="s">
        <v>159</v>
      </c>
      <c r="D58" s="108"/>
      <c r="E58" s="32">
        <f>PERC_MULTA_FGTS_AV_PREV_IND</f>
        <v>0.11176368</v>
      </c>
      <c r="F58" s="33">
        <f>PERC_MULTA_FGTS_AV_PREV_IND%*('POSTO 44 HORAS'!MOD_1_REMUNERACAO_44H+SUBMOD_2_1_DEC_TERC_ADIC_FERIAS_44H)</f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8" x14ac:dyDescent="0.35">
      <c r="A59" s="5"/>
      <c r="B59" s="24" t="s">
        <v>20</v>
      </c>
      <c r="C59" s="142" t="s">
        <v>161</v>
      </c>
      <c r="D59" s="108"/>
      <c r="E59" s="38">
        <f>PERC_AVISO_PREVIO_TRAB</f>
        <v>1.1557269305555555</v>
      </c>
      <c r="F59" s="35">
        <f>PERC_AVISO_PREVIO_TRAB%*('POSTO 44 HORAS'!MOD_1_REMUNERACAO_44H+SUBMOD_2_1_DEC_TERC_ADIC_FERIAS_44H)</f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8" x14ac:dyDescent="0.35">
      <c r="A60" s="5"/>
      <c r="B60" s="24" t="s">
        <v>22</v>
      </c>
      <c r="C60" s="144" t="s">
        <v>163</v>
      </c>
      <c r="D60" s="108"/>
      <c r="E60" s="32">
        <f>INCID_SUBMOD_2_2_APT</f>
        <v>0.42530751044444437</v>
      </c>
      <c r="F60" s="33">
        <f>INCID_SUBMOD_2_2_APT%*('POSTO 44 HORAS'!MOD_1_REMUNERACAO_44H+SUBMOD_2_1_DEC_TERC_ADIC_FERIAS_44H)</f>
        <v>0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6.8" x14ac:dyDescent="0.35">
      <c r="A61" s="5"/>
      <c r="B61" s="24" t="s">
        <v>45</v>
      </c>
      <c r="C61" s="142" t="s">
        <v>165</v>
      </c>
      <c r="D61" s="108"/>
      <c r="E61" s="38">
        <f>PERC_MULTA_FGTS_AV_PREV_TRAB</f>
        <v>1.9019963200000001</v>
      </c>
      <c r="F61" s="35">
        <f>PERC_MULTA_FGTS_AV_PREV_TRAB%*('POSTO 44 HORAS'!MOD_1_REMUNERACAO_44H+SUBMOD_2_1_DEC_TERC_ADIC_FERIAS_44H)</f>
        <v>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6.8" x14ac:dyDescent="0.4">
      <c r="A62" s="5"/>
      <c r="B62" s="121" t="s">
        <v>154</v>
      </c>
      <c r="C62" s="107"/>
      <c r="D62" s="107"/>
      <c r="E62" s="108"/>
      <c r="F62" s="37">
        <f>SUM(F56:F61)</f>
        <v>0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4.6" x14ac:dyDescent="0.4">
      <c r="A63" s="1"/>
      <c r="B63" s="40"/>
      <c r="C63" s="1"/>
      <c r="D63" s="41"/>
      <c r="E63" s="23"/>
      <c r="F63" s="2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8" x14ac:dyDescent="0.4">
      <c r="A64" s="5"/>
      <c r="B64" s="22" t="s">
        <v>72</v>
      </c>
      <c r="C64" s="29"/>
      <c r="D64" s="30"/>
      <c r="E64" s="1"/>
      <c r="F64" s="1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6.8" x14ac:dyDescent="0.4">
      <c r="A65" s="5"/>
      <c r="B65" s="22" t="s">
        <v>73</v>
      </c>
      <c r="C65" s="29"/>
      <c r="D65" s="30"/>
      <c r="E65" s="31"/>
      <c r="F65" s="31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6.8" x14ac:dyDescent="0.35">
      <c r="A66" s="5"/>
      <c r="B66" s="9" t="s">
        <v>74</v>
      </c>
      <c r="C66" s="136" t="s">
        <v>75</v>
      </c>
      <c r="D66" s="108"/>
      <c r="E66" s="24" t="s">
        <v>76</v>
      </c>
      <c r="F66" s="24" t="s">
        <v>83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8" x14ac:dyDescent="0.35">
      <c r="A67" s="5"/>
      <c r="B67" s="24" t="s">
        <v>14</v>
      </c>
      <c r="C67" s="106" t="s">
        <v>167</v>
      </c>
      <c r="D67" s="108"/>
      <c r="E67" s="32">
        <f>PERC_SUBSTITUTO_FERIAS</f>
        <v>8.3333333333333321</v>
      </c>
      <c r="F67" s="33">
        <f>PERC_SUBSTITUTO_FERIAS%*('POSTO 44 HORAS'!MOD_1_REMUNERACAO_44H+'POSTO 44 HORAS'!MOD_2_ENCARGOS_BENEFICIOS_44H)</f>
        <v>0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8" x14ac:dyDescent="0.35">
      <c r="A68" s="5"/>
      <c r="B68" s="24" t="s">
        <v>16</v>
      </c>
      <c r="C68" s="109" t="s">
        <v>169</v>
      </c>
      <c r="D68" s="108"/>
      <c r="E68" s="38">
        <f>PERC_SUBSTITUTO_AUSENCIAS_LEGAIS</f>
        <v>2.2222222222222223</v>
      </c>
      <c r="F68" s="35">
        <f>PERC_SUBSTITUTO_AUSENCIAS_LEGAIS%*('POSTO 44 HORAS'!MOD_1_REMUNERACAO_44H+'POSTO 44 HORAS'!MOD_2_ENCARGOS_BENEFICIOS_44H)</f>
        <v>0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6.8" x14ac:dyDescent="0.35">
      <c r="A69" s="5"/>
      <c r="B69" s="24" t="s">
        <v>18</v>
      </c>
      <c r="C69" s="106" t="s">
        <v>171</v>
      </c>
      <c r="D69" s="108"/>
      <c r="E69" s="32">
        <f>PERC_SUBSTITUTO_LICENCA_PATERNIDADE</f>
        <v>1.7051833333333329E-2</v>
      </c>
      <c r="F69" s="33">
        <f>PERC_SUBSTITUTO_LICENCA_PATERNIDADE%*('POSTO 44 HORAS'!MOD_1_REMUNERACAO_44H+'POSTO 44 HORAS'!MOD_2_ENCARGOS_BENEFICIOS_44H)</f>
        <v>0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8" x14ac:dyDescent="0.35">
      <c r="A70" s="5"/>
      <c r="B70" s="24" t="s">
        <v>20</v>
      </c>
      <c r="C70" s="109" t="s">
        <v>173</v>
      </c>
      <c r="D70" s="108"/>
      <c r="E70" s="38">
        <f>PERC_SUBSTITUTO_ACID_TRAB</f>
        <v>1.85302229372558E-2</v>
      </c>
      <c r="F70" s="35">
        <f>PERC_SUBSTITUTO_ACID_TRAB%*('POSTO 44 HORAS'!MOD_1_REMUNERACAO_44H+'POSTO 44 HORAS'!MOD_2_ENCARGOS_BENEFICIOS_44H)</f>
        <v>0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6.8" x14ac:dyDescent="0.35">
      <c r="A71" s="5"/>
      <c r="B71" s="24" t="s">
        <v>22</v>
      </c>
      <c r="C71" s="106" t="s">
        <v>175</v>
      </c>
      <c r="D71" s="108"/>
      <c r="E71" s="32">
        <f>PERC_SUBSTITUTO_AFAST_MATERN</f>
        <v>2.3584874666666662E-2</v>
      </c>
      <c r="F71" s="33">
        <f>PERC_SUBSTITUTO_AFAST_MATERN%*('POSTO 44 HORAS'!MOD_1_REMUNERACAO_44H+'POSTO 44 HORAS'!MOD_2_ENCARGOS_BENEFICIOS_44H)</f>
        <v>0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6.8" x14ac:dyDescent="0.35">
      <c r="A72" s="5"/>
      <c r="B72" s="24" t="s">
        <v>45</v>
      </c>
      <c r="C72" s="145" t="str">
        <f>OUTRAS_AUSENCIAS_DESCRICAO</f>
        <v>Outras Ausências (Especificar em %)</v>
      </c>
      <c r="D72" s="108"/>
      <c r="E72" s="42">
        <f>PERC_SUBSTITUTO_OUTRAS_AUSENCIAS</f>
        <v>0</v>
      </c>
      <c r="F72" s="35">
        <f>PERC_SUBSTITUTO_OUTRAS_AUSENCIAS%*('POSTO 44 HORAS'!MOD_1_REMUNERACAO_44H+'POSTO 44 HORAS'!MOD_2_ENCARGOS_BENEFICIOS_44H)</f>
        <v>0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6.8" x14ac:dyDescent="0.4">
      <c r="A73" s="5"/>
      <c r="B73" s="121" t="s">
        <v>154</v>
      </c>
      <c r="C73" s="107"/>
      <c r="D73" s="107"/>
      <c r="E73" s="108"/>
      <c r="F73" s="37">
        <f>SUM(F67:F72)</f>
        <v>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4.6" x14ac:dyDescent="0.4">
      <c r="A74" s="1"/>
      <c r="B74" s="40"/>
      <c r="C74" s="1"/>
      <c r="D74" s="41"/>
      <c r="E74" s="23"/>
      <c r="F74" s="2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8" x14ac:dyDescent="0.4">
      <c r="A75" s="1"/>
      <c r="B75" s="22" t="s">
        <v>81</v>
      </c>
      <c r="C75" s="29"/>
      <c r="D75" s="29"/>
      <c r="E75" s="31"/>
      <c r="F75" s="3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8" x14ac:dyDescent="0.4">
      <c r="A76" s="1"/>
      <c r="B76" s="43">
        <v>5</v>
      </c>
      <c r="C76" s="140" t="s">
        <v>82</v>
      </c>
      <c r="D76" s="114"/>
      <c r="E76" s="115"/>
      <c r="F76" s="44" t="s">
        <v>83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8" x14ac:dyDescent="0.4">
      <c r="A77" s="1"/>
      <c r="B77" s="45" t="s">
        <v>14</v>
      </c>
      <c r="C77" s="116" t="s">
        <v>84</v>
      </c>
      <c r="D77" s="114"/>
      <c r="E77" s="115"/>
      <c r="F77" s="46">
        <f>UNIFORMES</f>
        <v>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8" x14ac:dyDescent="0.4">
      <c r="A78" s="1"/>
      <c r="B78" s="45" t="s">
        <v>16</v>
      </c>
      <c r="C78" s="113" t="s">
        <v>85</v>
      </c>
      <c r="D78" s="114"/>
      <c r="E78" s="115"/>
      <c r="F78" s="47">
        <f>MATERIAIS</f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8" x14ac:dyDescent="0.4">
      <c r="A79" s="1"/>
      <c r="B79" s="45" t="s">
        <v>18</v>
      </c>
      <c r="C79" s="116" t="s">
        <v>86</v>
      </c>
      <c r="D79" s="114"/>
      <c r="E79" s="115"/>
      <c r="F79" s="46">
        <f>EQUIPAMENTOS</f>
        <v>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8" x14ac:dyDescent="0.4">
      <c r="A80" s="1"/>
      <c r="B80" s="45" t="s">
        <v>20</v>
      </c>
      <c r="C80" s="146" t="str">
        <f>OUTROS_INSUMOS_DESCRICAO</f>
        <v>Outros (Especificar)</v>
      </c>
      <c r="D80" s="114"/>
      <c r="E80" s="115"/>
      <c r="F80" s="47">
        <f>OUTROS_INSUMOS</f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8" x14ac:dyDescent="0.4">
      <c r="A81" s="1"/>
      <c r="B81" s="140" t="s">
        <v>154</v>
      </c>
      <c r="C81" s="114"/>
      <c r="D81" s="114"/>
      <c r="E81" s="115"/>
      <c r="F81" s="48">
        <f>SUM(F77:F80)</f>
        <v>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6" x14ac:dyDescent="0.4">
      <c r="A82" s="1"/>
      <c r="B82" s="40"/>
      <c r="C82" s="1"/>
      <c r="D82" s="41"/>
      <c r="E82" s="23"/>
      <c r="F82" s="2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8" x14ac:dyDescent="0.4">
      <c r="A83" s="1"/>
      <c r="B83" s="120" t="s">
        <v>88</v>
      </c>
      <c r="C83" s="111"/>
      <c r="D83" s="111"/>
      <c r="E83" s="111"/>
      <c r="F83" s="11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8" x14ac:dyDescent="0.4">
      <c r="A84" s="1"/>
      <c r="B84" s="9">
        <v>6</v>
      </c>
      <c r="C84" s="121" t="s">
        <v>89</v>
      </c>
      <c r="D84" s="108"/>
      <c r="E84" s="24" t="s">
        <v>76</v>
      </c>
      <c r="F84" s="24" t="s">
        <v>83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8" x14ac:dyDescent="0.4">
      <c r="A85" s="1"/>
      <c r="B85" s="9" t="s">
        <v>14</v>
      </c>
      <c r="C85" s="106" t="s">
        <v>90</v>
      </c>
      <c r="D85" s="108"/>
      <c r="E85" s="49">
        <f>PERC_CUSTOS_INDIRETOS</f>
        <v>0</v>
      </c>
      <c r="F85" s="33">
        <f>PERC_CUSTOS_INDIRETOS%*('POSTO 44 HORAS'!MOD_1_REMUNERACAO_44H+'POSTO 44 HORAS'!MOD_2_ENCARGOS_BENEFICIOS_44H+'POSTO 44 HORAS'!MOD_3_PROVISAO_RESCISAO_44H+'POSTO 44 HORAS'!MOD_4_CUSTO_REPOSICAO_44H+'POSTO 44 HORAS'!MOD_5_INSUMOS_44H)</f>
        <v>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8" x14ac:dyDescent="0.4">
      <c r="A86" s="1"/>
      <c r="B86" s="24" t="s">
        <v>16</v>
      </c>
      <c r="C86" s="109" t="s">
        <v>91</v>
      </c>
      <c r="D86" s="108"/>
      <c r="E86" s="50">
        <f>PERC_LUCRO</f>
        <v>0</v>
      </c>
      <c r="F86" s="35">
        <f>PERC_LUCRO%*('POSTO 44 HORAS'!MOD_1_REMUNERACAO_44H+'POSTO 44 HORAS'!MOD_2_ENCARGOS_BENEFICIOS_44H+'POSTO 44 HORAS'!MOD_3_PROVISAO_RESCISAO_44H+'POSTO 44 HORAS'!MOD_4_CUSTO_REPOSICAO_44H+'POSTO 44 HORAS'!MOD_5_INSUMOS_44H+'POSTO 44 HORAS'!AL_6_A_CUSTOS_INDIRETOS_44H)</f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8" x14ac:dyDescent="0.4">
      <c r="A87" s="1"/>
      <c r="B87" s="24" t="s">
        <v>18</v>
      </c>
      <c r="C87" s="106" t="s">
        <v>192</v>
      </c>
      <c r="D87" s="108"/>
      <c r="E87" s="49">
        <f t="shared" ref="E87:F87" si="0">SUM(E88:E90)</f>
        <v>0</v>
      </c>
      <c r="F87" s="33">
        <f t="shared" si="0"/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8" x14ac:dyDescent="0.4">
      <c r="A88" s="1"/>
      <c r="B88" s="51" t="s">
        <v>92</v>
      </c>
      <c r="C88" s="147" t="s">
        <v>93</v>
      </c>
      <c r="D88" s="108"/>
      <c r="E88" s="52">
        <f>PERC_PIS</f>
        <v>0</v>
      </c>
      <c r="F88" s="53">
        <f>(('POSTO 44 HORAS'!MOD_1_REMUNERACAO_44H+'POSTO 44 HORAS'!MOD_2_ENCARGOS_BENEFICIOS_44H+'POSTO 44 HORAS'!MOD_3_PROVISAO_RESCISAO_44H+'POSTO 44 HORAS'!MOD_4_CUSTO_REPOSICAO_44H+'POSTO 44 HORAS'!MOD_5_INSUMOS_44H+'POSTO 44 HORAS'!AL_6_A_CUSTOS_INDIRETOS_44H+'POSTO 44 HORAS'!AL_6_B_LUCRO_44H)*PERC_PIS%)/(1-'POSTO 44 HORAS'!PERC_TRIBUTOS%)</f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8" x14ac:dyDescent="0.4">
      <c r="A89" s="1"/>
      <c r="B89" s="51" t="s">
        <v>94</v>
      </c>
      <c r="C89" s="148" t="s">
        <v>95</v>
      </c>
      <c r="D89" s="108"/>
      <c r="E89" s="54">
        <f>PERC_COFINS</f>
        <v>0</v>
      </c>
      <c r="F89" s="55">
        <f>(('POSTO 44 HORAS'!MOD_1_REMUNERACAO_44H+'POSTO 44 HORAS'!MOD_2_ENCARGOS_BENEFICIOS_44H+'POSTO 44 HORAS'!MOD_3_PROVISAO_RESCISAO_44H+'POSTO 44 HORAS'!MOD_4_CUSTO_REPOSICAO_44H+'POSTO 44 HORAS'!MOD_5_INSUMOS_44H+'POSTO 44 HORAS'!AL_6_A_CUSTOS_INDIRETOS_44H+'POSTO 44 HORAS'!AL_6_B_LUCRO_44H)*PERC_COFINS%)/(1-'POSTO 44 HORAS'!PERC_TRIBUTOS%)</f>
        <v>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8" x14ac:dyDescent="0.4">
      <c r="A90" s="56"/>
      <c r="B90" s="51" t="s">
        <v>96</v>
      </c>
      <c r="C90" s="147" t="s">
        <v>97</v>
      </c>
      <c r="D90" s="108"/>
      <c r="E90" s="52">
        <f>PERC_ISS</f>
        <v>0</v>
      </c>
      <c r="F90" s="53">
        <f>(('POSTO 44 HORAS'!MOD_1_REMUNERACAO_44H+'POSTO 44 HORAS'!MOD_2_ENCARGOS_BENEFICIOS_44H+'POSTO 44 HORAS'!MOD_3_PROVISAO_RESCISAO_44H+'POSTO 44 HORAS'!MOD_4_CUSTO_REPOSICAO_44H+'POSTO 44 HORAS'!MOD_5_INSUMOS_44H+'POSTO 44 HORAS'!AL_6_A_CUSTOS_INDIRETOS_44H+'POSTO 44 HORAS'!AL_6_B_LUCRO_44H)*PERC_ISS%)/(1-'POSTO 44 HORAS'!PERC_TRIBUTOS%)</f>
        <v>0</v>
      </c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16.8" x14ac:dyDescent="0.4">
      <c r="A91" s="56"/>
      <c r="B91" s="121" t="s">
        <v>154</v>
      </c>
      <c r="C91" s="107"/>
      <c r="D91" s="107"/>
      <c r="E91" s="108"/>
      <c r="F91" s="57">
        <f>'POSTO 44 HORAS'!AL_6_A_CUSTOS_INDIRETOS_44H+'POSTO 44 HORAS'!AL_6_B_LUCRO_44H+'POSTO 44 HORAS'!AL_6_C_TRIBUTOS_44H</f>
        <v>0</v>
      </c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20.399999999999999" x14ac:dyDescent="0.4">
      <c r="A92" s="56"/>
      <c r="B92" s="58" t="s">
        <v>193</v>
      </c>
      <c r="C92" s="59"/>
      <c r="D92" s="59"/>
      <c r="E92" s="59"/>
      <c r="F92" s="60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16.8" x14ac:dyDescent="0.4">
      <c r="A93" s="61"/>
      <c r="B93" s="24" t="s">
        <v>194</v>
      </c>
      <c r="C93" s="136" t="s">
        <v>195</v>
      </c>
      <c r="D93" s="107"/>
      <c r="E93" s="108"/>
      <c r="F93" s="24" t="s">
        <v>196</v>
      </c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16.8" x14ac:dyDescent="0.4">
      <c r="A94" s="56"/>
      <c r="B94" s="9">
        <v>1</v>
      </c>
      <c r="C94" s="106" t="s">
        <v>38</v>
      </c>
      <c r="D94" s="107"/>
      <c r="E94" s="108"/>
      <c r="F94" s="33">
        <f>'POSTO 44 HORAS'!MOD_1_REMUNERACAO_44H</f>
        <v>0</v>
      </c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16.8" x14ac:dyDescent="0.4">
      <c r="A95" s="62"/>
      <c r="B95" s="24">
        <v>2</v>
      </c>
      <c r="C95" s="109" t="s">
        <v>197</v>
      </c>
      <c r="D95" s="107"/>
      <c r="E95" s="108"/>
      <c r="F95" s="35">
        <f>'POSTO 44 HORAS'!MOD_2_ENCARGOS_BENEFICIOS_44H</f>
        <v>0</v>
      </c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16.8" x14ac:dyDescent="0.4">
      <c r="A96" s="62"/>
      <c r="B96" s="24">
        <v>3</v>
      </c>
      <c r="C96" s="106" t="s">
        <v>119</v>
      </c>
      <c r="D96" s="107"/>
      <c r="E96" s="108"/>
      <c r="F96" s="33">
        <f>'POSTO 44 HORAS'!MOD_3_PROVISAO_RESCISAO_44H</f>
        <v>0</v>
      </c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26" ht="16.8" x14ac:dyDescent="0.4">
      <c r="A97" s="62"/>
      <c r="B97" s="24">
        <v>4</v>
      </c>
      <c r="C97" s="109" t="s">
        <v>198</v>
      </c>
      <c r="D97" s="107"/>
      <c r="E97" s="108"/>
      <c r="F97" s="35">
        <f>'POSTO 44 HORAS'!MOD_4_CUSTO_REPOSICAO_44H</f>
        <v>0</v>
      </c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6.8" x14ac:dyDescent="0.4">
      <c r="A98" s="62"/>
      <c r="B98" s="24">
        <v>5</v>
      </c>
      <c r="C98" s="106" t="s">
        <v>82</v>
      </c>
      <c r="D98" s="107"/>
      <c r="E98" s="108"/>
      <c r="F98" s="33">
        <f>'POSTO 44 HORAS'!MOD_5_INSUMOS_44H</f>
        <v>0</v>
      </c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26" ht="16.8" x14ac:dyDescent="0.4">
      <c r="A99" s="62"/>
      <c r="B99" s="24">
        <v>6</v>
      </c>
      <c r="C99" s="109" t="s">
        <v>89</v>
      </c>
      <c r="D99" s="107"/>
      <c r="E99" s="108"/>
      <c r="F99" s="35">
        <f>'POSTO 44 HORAS'!MOD_6_CUSTOS_IND_LUCRO_TRIB_44H</f>
        <v>0</v>
      </c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spans="1:26" ht="16.8" x14ac:dyDescent="0.4">
      <c r="A100" s="1"/>
      <c r="B100" s="136" t="s">
        <v>199</v>
      </c>
      <c r="C100" s="107"/>
      <c r="D100" s="107"/>
      <c r="E100" s="108"/>
      <c r="F100" s="57">
        <f>SUM(F94:F99)</f>
        <v>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8" x14ac:dyDescent="0.4">
      <c r="A101" s="1"/>
      <c r="B101" s="136" t="s">
        <v>200</v>
      </c>
      <c r="C101" s="107"/>
      <c r="D101" s="107"/>
      <c r="E101" s="108"/>
      <c r="F101" s="57">
        <f>'POSTO 44 HORAS'!VALOR_TOTAL_EMPREGADO_44H*EMPREG_POR_POSTO</f>
        <v>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8" x14ac:dyDescent="0.4">
      <c r="A102" s="1"/>
      <c r="B102" s="136" t="s">
        <v>201</v>
      </c>
      <c r="C102" s="107"/>
      <c r="D102" s="107"/>
      <c r="E102" s="108"/>
      <c r="F102" s="57">
        <f>'POSTO 44 HORAS'!VALOR_TOTAL_EMPREGADO_44H*EMPREG_POR_POSTO*'POSTO 44 HORAS'!QTDE_POSTOS</f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8" x14ac:dyDescent="0.4">
      <c r="A104" s="1"/>
      <c r="B104" s="1" t="s">
        <v>177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8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8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8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8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8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8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8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8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8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8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8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8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8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8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8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8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8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8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8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8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8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8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8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8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8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8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8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8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8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8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8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8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8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8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8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8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8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8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8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8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8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8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8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8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8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8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8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8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8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8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8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8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8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8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8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8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8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8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8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8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8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8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8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8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8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8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8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8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8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8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8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8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8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8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8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8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8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8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8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8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8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8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8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8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8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8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8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8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8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8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8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8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8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8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8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8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8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8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8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8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8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8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8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8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8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8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8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8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8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8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8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8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8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8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8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8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8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8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8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8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8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8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8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8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8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8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8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8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8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8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8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8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8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8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8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8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8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8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8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8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8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8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8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8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8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8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8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8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8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8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8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8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8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8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8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8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8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8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8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8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8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8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8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8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8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8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8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8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8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8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8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8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8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8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8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8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8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8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8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8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8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8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8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8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8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8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8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8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8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8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8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8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8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8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8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8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8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8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8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8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8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8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8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8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8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8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8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8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8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8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8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8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8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8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8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8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8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8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8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8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8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8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8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8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8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8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8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8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8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8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8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8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8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8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8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8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8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8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8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8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8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8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8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8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8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8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8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8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8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8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8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8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8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8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8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8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8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8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8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8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8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8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8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8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8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8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8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8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8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8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8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8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8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8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8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8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8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8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8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8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8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8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8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8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8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8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8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8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8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8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8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8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8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8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8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8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8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8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8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8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8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8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8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8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8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8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8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8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8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8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8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8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8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8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8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8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8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8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8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8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8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8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8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8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8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8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8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8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8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8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8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8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8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8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8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8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8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8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8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8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8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8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8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8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8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8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8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8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8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8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8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8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8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8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8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8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8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8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8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8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8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8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8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8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8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8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8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8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8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8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8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8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8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8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8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8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8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8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8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8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8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8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8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8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8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8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8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8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8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8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8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8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8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8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8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8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8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8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8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8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8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8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8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8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8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8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8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8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8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8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8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8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8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8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8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8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8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8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8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8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8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8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8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8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8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8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8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8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8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8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8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8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8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8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8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8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8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8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8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8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8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8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8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8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8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8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8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8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8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8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8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8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8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8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8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8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8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8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8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8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8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8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8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8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8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8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8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8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8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8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8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8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8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8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8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8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8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8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8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8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8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8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8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8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8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8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8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8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8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8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8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8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8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8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8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8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8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8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8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8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8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8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8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8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8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8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8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8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8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8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8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8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8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8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8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8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8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8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8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8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8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8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8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8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8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8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8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8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8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8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8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8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8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8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8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8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8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8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8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8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8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8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8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8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8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8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8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8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8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8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8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8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8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8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8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8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8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8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8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8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8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8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8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8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8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8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8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8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8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8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8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8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8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8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8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8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8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8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8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8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8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8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8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8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8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8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8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8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8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8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8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8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8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8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8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8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8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8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8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8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8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8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8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8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8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8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8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8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8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8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8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8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8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8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8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8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8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8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8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8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8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8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8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8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8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8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8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8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8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8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8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8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8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8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8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8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8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8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8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8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8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8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8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8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8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8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8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8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8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8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8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8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8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8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8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8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8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8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8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8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8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8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8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8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8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8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8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8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8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8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8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8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8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8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8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8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8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8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8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8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8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8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8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8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8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8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8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8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8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8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8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8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8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8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8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8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8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8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8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8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8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8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8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8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8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8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8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8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8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8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8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8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8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8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8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8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8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8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8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8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8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8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8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8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8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8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8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8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8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8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8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8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8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8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8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8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8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8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8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8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8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8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8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8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8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8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8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8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8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8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8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8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8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8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8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8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8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8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8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8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8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8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8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8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8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8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8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8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8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8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8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8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8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8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8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8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8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8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8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8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8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8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8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8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8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8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8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8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8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8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8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8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8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8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8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8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8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8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8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8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8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8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8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8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8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8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8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8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8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8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8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8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8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8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8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8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8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8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8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8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8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8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8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8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8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8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8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8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8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8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8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8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8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8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2">
    <mergeCell ref="C43:D43"/>
    <mergeCell ref="C79:E79"/>
    <mergeCell ref="C80:E80"/>
    <mergeCell ref="B81:E81"/>
    <mergeCell ref="B83:F83"/>
    <mergeCell ref="C76:E76"/>
    <mergeCell ref="C77:E77"/>
    <mergeCell ref="C78:E78"/>
    <mergeCell ref="C61:D61"/>
    <mergeCell ref="B62:E62"/>
    <mergeCell ref="C66:D66"/>
    <mergeCell ref="C67:D67"/>
    <mergeCell ref="C68:D68"/>
    <mergeCell ref="C56:D56"/>
    <mergeCell ref="C57:D57"/>
    <mergeCell ref="C58:D58"/>
    <mergeCell ref="C38:D38"/>
    <mergeCell ref="C39:D39"/>
    <mergeCell ref="C40:D40"/>
    <mergeCell ref="C41:D41"/>
    <mergeCell ref="C42:D42"/>
    <mergeCell ref="C33:D33"/>
    <mergeCell ref="B34:E34"/>
    <mergeCell ref="B35:F35"/>
    <mergeCell ref="C36:D36"/>
    <mergeCell ref="C37:D37"/>
    <mergeCell ref="C26:E26"/>
    <mergeCell ref="C27:E27"/>
    <mergeCell ref="B28:E28"/>
    <mergeCell ref="C31:D31"/>
    <mergeCell ref="C32:D32"/>
    <mergeCell ref="C21:E21"/>
    <mergeCell ref="C22:E22"/>
    <mergeCell ref="C23:E23"/>
    <mergeCell ref="C24:E24"/>
    <mergeCell ref="C25:E25"/>
    <mergeCell ref="D15:F15"/>
    <mergeCell ref="D16:F16"/>
    <mergeCell ref="C17:E17"/>
    <mergeCell ref="B18:F18"/>
    <mergeCell ref="B19:E19"/>
    <mergeCell ref="C10:E10"/>
    <mergeCell ref="C11:E11"/>
    <mergeCell ref="C12:E12"/>
    <mergeCell ref="C14:D14"/>
    <mergeCell ref="E14:F14"/>
    <mergeCell ref="B6:C6"/>
    <mergeCell ref="D6:E6"/>
    <mergeCell ref="B7:F7"/>
    <mergeCell ref="C8:E8"/>
    <mergeCell ref="D9:F9"/>
    <mergeCell ref="B1:F1"/>
    <mergeCell ref="B2:D2"/>
    <mergeCell ref="B3:F3"/>
    <mergeCell ref="B4:F4"/>
    <mergeCell ref="B5:C5"/>
    <mergeCell ref="D5:F5"/>
    <mergeCell ref="B102:E102"/>
    <mergeCell ref="C87:D87"/>
    <mergeCell ref="C88:D88"/>
    <mergeCell ref="C89:D89"/>
    <mergeCell ref="C90:D90"/>
    <mergeCell ref="B91:E91"/>
    <mergeCell ref="C93:E93"/>
    <mergeCell ref="C94:E94"/>
    <mergeCell ref="C97:E97"/>
    <mergeCell ref="C98:E98"/>
    <mergeCell ref="C99:E99"/>
    <mergeCell ref="B100:E100"/>
    <mergeCell ref="B101:E101"/>
    <mergeCell ref="C95:E95"/>
    <mergeCell ref="C96:E96"/>
    <mergeCell ref="C84:D84"/>
    <mergeCell ref="C85:D85"/>
    <mergeCell ref="C86:D86"/>
    <mergeCell ref="C69:D69"/>
    <mergeCell ref="C70:D70"/>
    <mergeCell ref="C71:D71"/>
    <mergeCell ref="C72:D72"/>
    <mergeCell ref="B73:E73"/>
    <mergeCell ref="C59:D59"/>
    <mergeCell ref="C60:D60"/>
    <mergeCell ref="C50:E50"/>
    <mergeCell ref="C51:E51"/>
    <mergeCell ref="C52:E52"/>
    <mergeCell ref="B53:E53"/>
    <mergeCell ref="C55:D55"/>
    <mergeCell ref="C44:D44"/>
    <mergeCell ref="B45:E45"/>
    <mergeCell ref="C47:E47"/>
    <mergeCell ref="C48:E48"/>
    <mergeCell ref="C49:E49"/>
  </mergeCells>
  <conditionalFormatting sqref="F49">
    <cfRule type="cellIs" dxfId="0" priority="1" operator="equal">
      <formula>"Insira o % do PAT"</formula>
    </cfRule>
  </conditionalFormatting>
  <printOptions horizontalCentered="1"/>
  <pageMargins left="0.78740157480314965" right="0.78740157480314965" top="0.78740157480314965" bottom="0.78740157480314965" header="0" footer="0"/>
  <pageSetup paperSize="9" scale="77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168</vt:i4>
      </vt:variant>
    </vt:vector>
  </HeadingPairs>
  <TitlesOfParts>
    <vt:vector size="173" baseType="lpstr">
      <vt:lpstr>INSERÇÃO-DE-DADOS</vt:lpstr>
      <vt:lpstr>DADOS-ESTATISTICOS</vt:lpstr>
      <vt:lpstr>ENCARGOS-SOCIAIS-E-TRABALHISTAS</vt:lpstr>
      <vt:lpstr>POSTO 12x36 HORAS</vt:lpstr>
      <vt:lpstr>POSTO 44 HORAS</vt:lpstr>
      <vt:lpstr>ACORDO_COLETIVO</vt:lpstr>
      <vt:lpstr>ADESAO_AO_PAT</vt:lpstr>
      <vt:lpstr>'POSTO 12x36 HORAS'!AL_1_A_SAL_BASE_12x36</vt:lpstr>
      <vt:lpstr>'POSTO 44 HORAS'!AL_1_A_SAL_BASE_44H</vt:lpstr>
      <vt:lpstr>'POSTO 12x36 HORAS'!AL_1_B_ADIC_PERIC_12x36</vt:lpstr>
      <vt:lpstr>'POSTO 44 HORAS'!AL_1_B_ADIC_PERIC_44H</vt:lpstr>
      <vt:lpstr>'POSTO 12x36 HORAS'!AL_1_C_ADIC_NOT_12x36</vt:lpstr>
      <vt:lpstr>'POSTO 12x36 HORAS'!AL_1_D_ADIC_NOT_RED_12x36</vt:lpstr>
      <vt:lpstr>'POSTO 12x36 HORAS'!AL_2_1_A_DEC_TERC_12x36</vt:lpstr>
      <vt:lpstr>'POSTO 44 HORAS'!AL_2_1_A_DEC_TERC_44H</vt:lpstr>
      <vt:lpstr>'POSTO 12x36 HORAS'!AL_2_1_B_ADIC_FERIAS_12x36</vt:lpstr>
      <vt:lpstr>'POSTO 44 HORAS'!AL_2_1_B_ADIC_FERIAS_44H</vt:lpstr>
      <vt:lpstr>'POSTO 12x36 HORAS'!AL_2_2_FGTS_12x36</vt:lpstr>
      <vt:lpstr>'POSTO 44 HORAS'!AL_2_2_FGTS_44H</vt:lpstr>
      <vt:lpstr>'POSTO 12x36 HORAS'!AL_2_3_A_TRANSP_12x36</vt:lpstr>
      <vt:lpstr>'POSTO 44 HORAS'!AL_2_3_A_TRANSP_44H</vt:lpstr>
      <vt:lpstr>'POSTO 12x36 HORAS'!AL_2_3_B_AUX_ALIMENT_12x36</vt:lpstr>
      <vt:lpstr>'POSTO 44 HORAS'!AL_2_3_B_AUX_ALIMENT_44H</vt:lpstr>
      <vt:lpstr>'POSTO 12x36 HORAS'!AL_2_3_C_OUTROS_BENEF_12x36</vt:lpstr>
      <vt:lpstr>'POSTO 44 HORAS'!AL_2_3_C_OUTROS_BENEF_44H</vt:lpstr>
      <vt:lpstr>'POSTO 12x36 HORAS'!AL_2_A_ATE_2_G_GPS_12x36</vt:lpstr>
      <vt:lpstr>'POSTO 44 HORAS'!AL_2_A_ATE_2_G_GPS_44H</vt:lpstr>
      <vt:lpstr>'POSTO 12x36 HORAS'!AL_6_A_CUSTOS_INDIRETOS_12x36</vt:lpstr>
      <vt:lpstr>'POSTO 44 HORAS'!AL_6_A_CUSTOS_INDIRETOS_44H</vt:lpstr>
      <vt:lpstr>'POSTO 12x36 HORAS'!AL_6_B_LUCRO_12x36</vt:lpstr>
      <vt:lpstr>'POSTO 44 HORAS'!AL_6_B_LUCRO_44H</vt:lpstr>
      <vt:lpstr>'POSTO 12x36 HORAS'!AL_6_C_1_PIS_12x36</vt:lpstr>
      <vt:lpstr>'POSTO 44 HORAS'!AL_6_C_1_PIS_44H</vt:lpstr>
      <vt:lpstr>'POSTO 12x36 HORAS'!AL_6_C_2_COFINS_12x36</vt:lpstr>
      <vt:lpstr>'POSTO 44 HORAS'!AL_6_C_2_COFINS_44H</vt:lpstr>
      <vt:lpstr>'POSTO 12x36 HORAS'!AL_6_C_3_ISS_12x36</vt:lpstr>
      <vt:lpstr>'POSTO 44 HORAS'!AL_6_C_3_ISS_44H</vt:lpstr>
      <vt:lpstr>'POSTO 12x36 HORAS'!AL_6_C_TRIBUTOS_12x36</vt:lpstr>
      <vt:lpstr>'POSTO 44 HORAS'!AL_6_C_TRIBUTOS_44H</vt:lpstr>
      <vt:lpstr>ALIMENTACAO_POR_DIA</vt:lpstr>
      <vt:lpstr>'DADOS-ESTATISTICOS'!Area_de_impressao</vt:lpstr>
      <vt:lpstr>'ENCARGOS-SOCIAIS-E-TRABALHISTAS'!Area_de_impressao</vt:lpstr>
      <vt:lpstr>'INSERÇÃO-DE-DADOS'!Area_de_impressao</vt:lpstr>
      <vt:lpstr>'POSTO 12x36 HORAS'!Area_de_impressao</vt:lpstr>
      <vt:lpstr>'POSTO 44 HORAS'!Area_de_impressao</vt:lpstr>
      <vt:lpstr>BC_ADIC_INSALUB</vt:lpstr>
      <vt:lpstr>CATEGORIA_PROFISSIONAL</vt:lpstr>
      <vt:lpstr>CBO</vt:lpstr>
      <vt:lpstr>DATA_APRESENTACAO_PROPOSTA</vt:lpstr>
      <vt:lpstr>DATA_BASE_CATEGORIA</vt:lpstr>
      <vt:lpstr>DATA_DO_ORCAMENTO_ESTIMATIVO</vt:lpstr>
      <vt:lpstr>DATA_LICITACAO</vt:lpstr>
      <vt:lpstr>DIAS_AUSENCIAS_LEGAIS</vt:lpstr>
      <vt:lpstr>DIAS_LICENCA_MATERNIDADE</vt:lpstr>
      <vt:lpstr>DIAS_LICENCA_PATERNIDADE</vt:lpstr>
      <vt:lpstr>DIAS_NA_SEMANA</vt:lpstr>
      <vt:lpstr>DIAS_NO_ANO</vt:lpstr>
      <vt:lpstr>DIAS_NO_MES</vt:lpstr>
      <vt:lpstr>DIAS_PAGOS_EMPRESA_ACID_TRAB</vt:lpstr>
      <vt:lpstr>DIAS_TRABALHADOS_NO_MES_12X36</vt:lpstr>
      <vt:lpstr>DIAS_UTEIS_TRABALHADOS_NO_MES_44HORAS</vt:lpstr>
      <vt:lpstr>DIVISOR_DE_HORAS</vt:lpstr>
      <vt:lpstr>EMPREG_POR_POSTO</vt:lpstr>
      <vt:lpstr>EQUIPAMENTOS</vt:lpstr>
      <vt:lpstr>FAP</vt:lpstr>
      <vt:lpstr>HORA_NORMAL</vt:lpstr>
      <vt:lpstr>HORA_NOTURNA</vt:lpstr>
      <vt:lpstr>HORARIO_LICITACAO</vt:lpstr>
      <vt:lpstr>INCID_FGTS_SOBRE_API</vt:lpstr>
      <vt:lpstr>INCID_SUBMOD_2_2_APT</vt:lpstr>
      <vt:lpstr>LOCAL_DE_EXECUCAO</vt:lpstr>
      <vt:lpstr>MATERIAIS</vt:lpstr>
      <vt:lpstr>MEDIA_ANUAL_DIAS_TRABALHO_MES</vt:lpstr>
      <vt:lpstr>MESES_NO_ANO</vt:lpstr>
      <vt:lpstr>MOD_1_REMUNERACAO_12X36</vt:lpstr>
      <vt:lpstr>'POSTO 44 HORAS'!MOD_1_REMUNERACAO_44H</vt:lpstr>
      <vt:lpstr>'POSTO 12x36 HORAS'!MOD_3_PROVISAO_RESCISAO_12x36</vt:lpstr>
      <vt:lpstr>'POSTO 44 HORAS'!MOD_3_PROVISAO_RESCISAO_44H</vt:lpstr>
      <vt:lpstr>'POSTO 44 HORAS'!MOD_4_CUSTO_REPOSICAO_44H</vt:lpstr>
      <vt:lpstr>'POSTO 12x36 HORAS'!MOD_5_INSUMOS_12x36</vt:lpstr>
      <vt:lpstr>'POSTO 44 HORAS'!MOD_5_INSUMOS_44H</vt:lpstr>
      <vt:lpstr>'POSTO 12x36 HORAS'!MOD_6_CUSTOS_IND_LUCRO_TRIB_12x36</vt:lpstr>
      <vt:lpstr>'POSTO 44 HORAS'!MOD_6_CUSTOS_IND_LUCRO_TRIB_44H</vt:lpstr>
      <vt:lpstr>MODALIDADE_DE_LICITACAO</vt:lpstr>
      <vt:lpstr>NUMERO_MESES_EXEC_CONTRATUAL</vt:lpstr>
      <vt:lpstr>NUMERO_PREGAO</vt:lpstr>
      <vt:lpstr>NUMERO_PROCESSO</vt:lpstr>
      <vt:lpstr>OUTRAS_AUSENCIAS</vt:lpstr>
      <vt:lpstr>OUTRAS_AUSENCIAS_DESCRICAO</vt:lpstr>
      <vt:lpstr>OUTROS_BENEFICIOS_1</vt:lpstr>
      <vt:lpstr>OUTROS_BENEFICIOS_1_DESCRICAO</vt:lpstr>
      <vt:lpstr>OUTROS_BENEFICIOS_2</vt:lpstr>
      <vt:lpstr>OUTROS_BENEFICIOS_2_DESCRICAO</vt:lpstr>
      <vt:lpstr>OUTROS_BENEFICIOS_3</vt:lpstr>
      <vt:lpstr>OUTROS_BENEFICIOS_3_DESCRICAO</vt:lpstr>
      <vt:lpstr>OUTROS_INSUMOS</vt:lpstr>
      <vt:lpstr>OUTROS_INSUMOS_DESCRICAO</vt:lpstr>
      <vt:lpstr>OUTROS_REMUNERACAO_1</vt:lpstr>
      <vt:lpstr>OUTROS_REMUNERACAO_1_DESCRICAO</vt:lpstr>
      <vt:lpstr>OUTROS_REMUNERACAO_2</vt:lpstr>
      <vt:lpstr>OUTROS_REMUNERACAO_2_DESCRICAO</vt:lpstr>
      <vt:lpstr>OUTROS_REMUNERACAO_3</vt:lpstr>
      <vt:lpstr>OUTROS_REMUNERACAO_3_DESCRICAO</vt:lpstr>
      <vt:lpstr>PERC_ADIC_FERIAS</vt:lpstr>
      <vt:lpstr>PERC_ADIC_INS</vt:lpstr>
      <vt:lpstr>PERC_ADIC_NOT</vt:lpstr>
      <vt:lpstr>PERC_ADIC_PERIC</vt:lpstr>
      <vt:lpstr>PERC_AVISO_PREVIO_IND</vt:lpstr>
      <vt:lpstr>PERC_AVISO_PREVIO_TRAB</vt:lpstr>
      <vt:lpstr>PERC_COFINS</vt:lpstr>
      <vt:lpstr>PERC_CUSTOS_INDIRETOS</vt:lpstr>
      <vt:lpstr>PERC_DEC_TERC</vt:lpstr>
      <vt:lpstr>PERC_DESC_TRANSP_REMUNERACAO</vt:lpstr>
      <vt:lpstr>PERC_EMPREG_AFAST_TRAB</vt:lpstr>
      <vt:lpstr>PERC_EMPREG_AVISO_PREVIO_IND</vt:lpstr>
      <vt:lpstr>PERC_EMPREG_AVISO_PREVIO_TRAB</vt:lpstr>
      <vt:lpstr>PERC_EMPREG_DEMIT_SEM_JUSTA_CAUSA_TOTAL_DESLIG</vt:lpstr>
      <vt:lpstr>PERC_FAP</vt:lpstr>
      <vt:lpstr>PERC_FGTS</vt:lpstr>
      <vt:lpstr>PERC_GPS_FGTS</vt:lpstr>
      <vt:lpstr>PERC_HORA_EXTRA</vt:lpstr>
      <vt:lpstr>PERC_INCRA</vt:lpstr>
      <vt:lpstr>PERC_INSS</vt:lpstr>
      <vt:lpstr>PERC_ISS</vt:lpstr>
      <vt:lpstr>PERC_LUCRO</vt:lpstr>
      <vt:lpstr>'POSTO 12x36 HORAS'!PERC_MOD_3_PROVISAO_RESCISAO</vt:lpstr>
      <vt:lpstr>'POSTO 44 HORAS'!PERC_MOD_3_PROVISAO_RESCISAO</vt:lpstr>
      <vt:lpstr>PERC_MULTA_FGTS</vt:lpstr>
      <vt:lpstr>PERC_MULTA_FGTS_AV_PREV_IND</vt:lpstr>
      <vt:lpstr>PERC_MULTA_FGTS_AV_PREV_TRAB</vt:lpstr>
      <vt:lpstr>PERC_NASCIDOS_VIVOS_POPUL_FEM</vt:lpstr>
      <vt:lpstr>PERC_PARTIC_FEM_VIGIL</vt:lpstr>
      <vt:lpstr>PERC_PARTIC_MASC_VIGIL</vt:lpstr>
      <vt:lpstr>PERC_PAT</vt:lpstr>
      <vt:lpstr>PERC_PIS</vt:lpstr>
      <vt:lpstr>PERC_RAT</vt:lpstr>
      <vt:lpstr>PERC_SAL_EDUCACAO</vt:lpstr>
      <vt:lpstr>PERC_SEBRAE</vt:lpstr>
      <vt:lpstr>PERC_SENAC</vt:lpstr>
      <vt:lpstr>PERC_SESC</vt:lpstr>
      <vt:lpstr>PERC_SUBSTITUTO_ACID_TRAB</vt:lpstr>
      <vt:lpstr>PERC_SUBSTITUTO_AFAST_MATERN</vt:lpstr>
      <vt:lpstr>PERC_SUBSTITUTO_AUSENCIAS_LEGAIS</vt:lpstr>
      <vt:lpstr>PERC_SUBSTITUTO_FERIAS</vt:lpstr>
      <vt:lpstr>PERC_SUBSTITUTO_LICENCA_PATERNIDADE</vt:lpstr>
      <vt:lpstr>PERC_SUBSTITUTO_OUTRAS_AUSENCIAS</vt:lpstr>
      <vt:lpstr>'POSTO 12x36 HORAS'!PERC_TRIBUTOS</vt:lpstr>
      <vt:lpstr>'POSTO 44 HORAS'!PERC_TRIBUTOS</vt:lpstr>
      <vt:lpstr>'POSTO 12x36 HORAS'!QTDE_POSTOS</vt:lpstr>
      <vt:lpstr>'POSTO 44 HORAS'!QTDE_POSTOS</vt:lpstr>
      <vt:lpstr>RAMO</vt:lpstr>
      <vt:lpstr>SAL_MINIMO</vt:lpstr>
      <vt:lpstr>SALARIO_BASE</vt:lpstr>
      <vt:lpstr>'POSTO 12x36 HORAS'!SUBMOD_2_1_DEC_TERC_ADIC_FERIAS_12x36</vt:lpstr>
      <vt:lpstr>SUBMOD_2_1_DEC_TERC_ADIC_FERIAS_44H</vt:lpstr>
      <vt:lpstr>'POSTO 12x36 HORAS'!SUBMOD_2_2_GPS_FGTS_12x36</vt:lpstr>
      <vt:lpstr>'POSTO 44 HORAS'!SUBMOD_2_2_GPS_FGTS_44H</vt:lpstr>
      <vt:lpstr>'POSTO 12x36 HORAS'!SUBMOD_2_3_BENEFICIOS_12x36</vt:lpstr>
      <vt:lpstr>'POSTO 44 HORAS'!SUBMOD_2_3_BENEFICIOS_44H</vt:lpstr>
      <vt:lpstr>SUBMOD_2_4_INTERVALO_INTRAJORNADA_12X36</vt:lpstr>
      <vt:lpstr>'POSTO 12x36 HORAS'!SUBMOD_4_1_SUBSTITUTO_12x36</vt:lpstr>
      <vt:lpstr>'POSTO 44 HORAS'!SUBMOD_4_1_SUBSTITUTO_44H</vt:lpstr>
      <vt:lpstr>'POSTO 12x36 HORAS'!SUBMOD_4_2_INTRAJORNADA_12x36</vt:lpstr>
      <vt:lpstr>TEMPO_INTERVALO_REFEICAO_INTERV_INTRA</vt:lpstr>
      <vt:lpstr>TEMPO_INTERVALO_REFEICAO_SUBST_INTRA</vt:lpstr>
      <vt:lpstr>TIPO_DE_SERVICO</vt:lpstr>
      <vt:lpstr>TRANSPORTE_POR_DIA</vt:lpstr>
      <vt:lpstr>UG</vt:lpstr>
      <vt:lpstr>UNIFORMES</vt:lpstr>
      <vt:lpstr>'POSTO 12x36 HORAS'!VALOR_TOTAL_EMPREGADO_12x36</vt:lpstr>
      <vt:lpstr>'POSTO 44 HORAS'!VALOR_TOTAL_EMPREGADO_44H</vt:lpstr>
      <vt:lpstr>'POSTO 12x36 HORAS'!VALOR_TOTAL_POSTO_12x36</vt:lpstr>
      <vt:lpstr>'POSTO 44 HORAS'!VALOR_TOTAL_POSTO_44H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Felipe Flores da Silva</dc:creator>
  <cp:lastModifiedBy>Bruno Antônio Fernandes Bossatto</cp:lastModifiedBy>
  <cp:lastPrinted>2026-06-04T18:10:33Z</cp:lastPrinted>
  <dcterms:created xsi:type="dcterms:W3CDTF">2014-02-07T18:14:59Z</dcterms:created>
  <dcterms:modified xsi:type="dcterms:W3CDTF">2026-06-04T18:10:42Z</dcterms:modified>
</cp:coreProperties>
</file>